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932" activeTab="1"/>
  </bookViews>
  <sheets>
    <sheet name="РАЗХОДИ ПО КМЕТСТВА" sheetId="1" r:id="rId1"/>
    <sheet name="Белокопитово" sheetId="2" r:id="rId2"/>
    <sheet name="Благово" sheetId="3" r:id="rId3"/>
    <sheet name="Васил Друмев" sheetId="4" r:id="rId4"/>
    <sheet name="Велино" sheetId="5" r:id="rId5"/>
    <sheet name="Ветрище" sheetId="6" r:id="rId6"/>
    <sheet name="Вехтово" sheetId="7" r:id="rId7"/>
    <sheet name="Градище" sheetId="8" r:id="rId8"/>
    <sheet name="Дибич" sheetId="9" r:id="rId9"/>
    <sheet name="Дивдядово" sheetId="10" r:id="rId10"/>
    <sheet name="Друмево" sheetId="11" r:id="rId11"/>
    <sheet name="Ивански" sheetId="12" r:id="rId12"/>
    <sheet name="Илия Блъсково" sheetId="13" r:id="rId13"/>
    <sheet name="Кладенец" sheetId="14" r:id="rId14"/>
    <sheet name="Коньовец" sheetId="15" r:id="rId15"/>
    <sheet name="Костена река" sheetId="16" r:id="rId16"/>
    <sheet name="Лозево" sheetId="17" r:id="rId17"/>
    <sheet name="Мадара" sheetId="18" r:id="rId18"/>
    <sheet name="Мараш" sheetId="19" r:id="rId19"/>
    <sheet name="Мътница " sheetId="20" r:id="rId20"/>
    <sheet name="Макак" sheetId="21" r:id="rId21"/>
    <sheet name="Новосел" sheetId="22" r:id="rId22"/>
    <sheet name="Овчарово" sheetId="23" r:id="rId23"/>
    <sheet name="Панайот Волов" sheetId="24" r:id="rId24"/>
    <sheet name="Радко Димитриево" sheetId="25" r:id="rId25"/>
    <sheet name="Салманово" sheetId="26" r:id="rId26"/>
    <sheet name="Средня" sheetId="27" r:id="rId27"/>
    <sheet name="Струйно" sheetId="28" r:id="rId28"/>
    <sheet name="Царев Брод" sheetId="29" r:id="rId29"/>
    <sheet name="Черенча" sheetId="30" r:id="rId30"/>
    <sheet name="ОБЩО КМЕТСТВА" sheetId="31" r:id="rId31"/>
    <sheet name="Sheet1" sheetId="32" r:id="rId32"/>
  </sheets>
  <definedNames>
    <definedName name="_xlnm.Print_Area" localSheetId="0">'РАЗХОДИ ПО КМЕТСТВА'!$A$1:$AH$35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t.stoichkova</author>
  </authors>
  <commentList>
    <comment ref="L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ЕНЕРГО-ПРО ТЕХН.КОНСУЛТАЦИИ</t>
        </r>
      </text>
    </comment>
    <comment ref="L1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ДЕЙНОСТИ НА ЕНЕРГО ПРО - ОБЕЗОПАСЯВА И ТЕХН.КОНСУЛТАЦИИ</t>
        </r>
      </text>
    </comment>
    <comment ref="AA6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смр читалище</t>
        </r>
      </text>
    </comment>
    <comment ref="AA14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смр читалище</t>
        </r>
      </text>
    </comment>
    <comment ref="AA22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1089,40 СМР АДМ.
5758,14 СМР ЧИТАЛИЩЕ</t>
        </r>
      </text>
    </comment>
    <comment ref="AA18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СМР ЧИТАЛИЩЕ</t>
        </r>
      </text>
    </comment>
    <comment ref="AA16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СМР ЧИТАЛИЩЕ
</t>
        </r>
      </text>
    </comment>
    <comment ref="L17" authorId="1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охрана църква велино</t>
        </r>
      </text>
    </comment>
  </commentList>
</comments>
</file>

<file path=xl/comments2.xml><?xml version="1.0" encoding="utf-8"?>
<comments xmlns="http://schemas.openxmlformats.org/spreadsheetml/2006/main">
  <authors>
    <author>t.stoichkova</author>
  </authors>
  <commentList>
    <comment ref="F35" authorId="0">
      <text>
        <r>
          <rPr>
            <b/>
            <sz val="9"/>
            <rFont val="Tahoma"/>
            <family val="0"/>
          </rPr>
          <t>t.stoichkova:</t>
        </r>
        <r>
          <rPr>
            <sz val="9"/>
            <rFont val="Tahoma"/>
            <family val="0"/>
          </rPr>
          <t xml:space="preserve">
касов апарат - 249,60 лв.</t>
        </r>
      </text>
    </comment>
  </commentList>
</comments>
</file>

<file path=xl/sharedStrings.xml><?xml version="1.0" encoding="utf-8"?>
<sst xmlns="http://schemas.openxmlformats.org/spreadsheetml/2006/main" count="2838" uniqueCount="172">
  <si>
    <t>Параграф</t>
  </si>
  <si>
    <t>1.Заплати и др.възнаграждения на персонала</t>
  </si>
  <si>
    <t>В.Капиталови разходи</t>
  </si>
  <si>
    <t>1.Основен ремонт на ДМА</t>
  </si>
  <si>
    <t>05-00</t>
  </si>
  <si>
    <t>05-51</t>
  </si>
  <si>
    <t>05-52</t>
  </si>
  <si>
    <t>05-60</t>
  </si>
  <si>
    <t>05-80</t>
  </si>
  <si>
    <t>10-00</t>
  </si>
  <si>
    <t>10-15</t>
  </si>
  <si>
    <t>10-16</t>
  </si>
  <si>
    <t>10-20</t>
  </si>
  <si>
    <t>10-30</t>
  </si>
  <si>
    <t>51-00</t>
  </si>
  <si>
    <t>10-51</t>
  </si>
  <si>
    <t>10-13</t>
  </si>
  <si>
    <t>01-01</t>
  </si>
  <si>
    <t>3.Задължителни осигуровки от работодател</t>
  </si>
  <si>
    <t>3.1.За ДОО</t>
  </si>
  <si>
    <t>3.2.За УПФ</t>
  </si>
  <si>
    <t>3.3.Здравно-осигурителни вноски</t>
  </si>
  <si>
    <t>3.4.Допълнително задължително осигуряване</t>
  </si>
  <si>
    <t>4.Издръжка</t>
  </si>
  <si>
    <t>2.Др.възнаграждения и плащания на персонала</t>
  </si>
  <si>
    <t>02-00</t>
  </si>
  <si>
    <t>02-02</t>
  </si>
  <si>
    <t>02-05</t>
  </si>
  <si>
    <t>2.2.Изплатенисуми СБКО</t>
  </si>
  <si>
    <t>4.1.Постелен инвентар и облекло</t>
  </si>
  <si>
    <t>4.2.Материали</t>
  </si>
  <si>
    <t>4.5.Текущ ремонт</t>
  </si>
  <si>
    <t xml:space="preserve">2.1.За персонала по извънтрудови правоотношения </t>
  </si>
  <si>
    <t>4.7.Командировки в страната</t>
  </si>
  <si>
    <t>02-09</t>
  </si>
  <si>
    <t>2.4.Други плащания и възнаграждения</t>
  </si>
  <si>
    <t>2.3.Обезщетения с х-р на възнаграждения</t>
  </si>
  <si>
    <t>02-08</t>
  </si>
  <si>
    <t>вид разход</t>
  </si>
  <si>
    <t xml:space="preserve"> държавно делегирана  дейност</t>
  </si>
  <si>
    <t xml:space="preserve"> местна дейност</t>
  </si>
  <si>
    <t>Деност 122 "Общинска администрация"</t>
  </si>
  <si>
    <t>Дейност 604 "Осветление на улици и площади"</t>
  </si>
  <si>
    <t>Дейност 622 "Озеленяване"</t>
  </si>
  <si>
    <t>Дейност 623 "Чистота"</t>
  </si>
  <si>
    <t>I. МЕСТНИ ПРИХОДИ</t>
  </si>
  <si>
    <t xml:space="preserve">Имуществени данъци </t>
  </si>
  <si>
    <t>13-00</t>
  </si>
  <si>
    <t>II.  РАЗХОДИ</t>
  </si>
  <si>
    <t>административни услуги</t>
  </si>
  <si>
    <t>Общински такси</t>
  </si>
  <si>
    <t>такса битови отпадъци</t>
  </si>
  <si>
    <t>27-07</t>
  </si>
  <si>
    <t>27-11</t>
  </si>
  <si>
    <t>27-00</t>
  </si>
  <si>
    <t xml:space="preserve">1. Данъчни приходи </t>
  </si>
  <si>
    <t>2. Неданъчни приходи</t>
  </si>
  <si>
    <t>наименование</t>
  </si>
  <si>
    <t>Всичко:</t>
  </si>
  <si>
    <t>ОБЩО:</t>
  </si>
  <si>
    <t>Общо</t>
  </si>
  <si>
    <t>4.4.Външни услуги в т.ч. интернет-270лв. тел. -250лв.</t>
  </si>
  <si>
    <t xml:space="preserve">4.3.Вода, горива,енергия в т.ч.вода-100лв., ел.ен.-400лв. дърва-540лв. </t>
  </si>
  <si>
    <t>Дейност 122 "Общинска администрация"</t>
  </si>
  <si>
    <t xml:space="preserve">Общо </t>
  </si>
  <si>
    <t>4.6.Командировки в страната</t>
  </si>
  <si>
    <t>52-03</t>
  </si>
  <si>
    <t>отчет</t>
  </si>
  <si>
    <t xml:space="preserve">                                                                   КМЕТСТВО ГРАДИЩЕ</t>
  </si>
  <si>
    <t xml:space="preserve">                                                                    КМЕТСТВО ВЕХТОВО</t>
  </si>
  <si>
    <t xml:space="preserve">                                                                  КМЕТСТВО ДИБИЧ</t>
  </si>
  <si>
    <t xml:space="preserve">                                                         КВ.  ДИВДЯДОВО</t>
  </si>
  <si>
    <t xml:space="preserve">                                                           КМЕТСТВО ДРУМЕВО</t>
  </si>
  <si>
    <t xml:space="preserve">                                                               КМЕТСТВО ИВАНСКИ</t>
  </si>
  <si>
    <t xml:space="preserve">                                                         КМЕТСТВО ИЛИЯ БЛЪСКОВ</t>
  </si>
  <si>
    <t xml:space="preserve">                                                                          КМЕТСТВО КЛАДЕНЕЦ</t>
  </si>
  <si>
    <t xml:space="preserve">                                                           КМЕТСТВО КОНЬОВЕЦ</t>
  </si>
  <si>
    <t xml:space="preserve">                                               КОСТЕНА РЕКА</t>
  </si>
  <si>
    <t xml:space="preserve">                                                             КМЕТСТВО ЛОЗЕВО</t>
  </si>
  <si>
    <t xml:space="preserve">                                                                      КМЕТСТВО МАДАРА</t>
  </si>
  <si>
    <t xml:space="preserve">                                                             КМЕТСТВО МАРАШ</t>
  </si>
  <si>
    <t xml:space="preserve">                                                                  МЪТНИЦА</t>
  </si>
  <si>
    <t xml:space="preserve">                                                                  КВ.  МАКАК</t>
  </si>
  <si>
    <t xml:space="preserve">                                                                  КМЕТСТВО НОВОСЕЛ</t>
  </si>
  <si>
    <t xml:space="preserve">                                                            ОВЧАРОВО</t>
  </si>
  <si>
    <t xml:space="preserve">                                                 КМЕТСТВО ПАНАЙОТ ВОЛОВ</t>
  </si>
  <si>
    <t xml:space="preserve">                                                                 КМЕТСТВО РАДКО ДИМИТРИЕВО</t>
  </si>
  <si>
    <t xml:space="preserve">                                                            КМЕТСТВО САЛМАНОВО</t>
  </si>
  <si>
    <t xml:space="preserve">                                                                        КМЕТСТВО СРЕДНЯ</t>
  </si>
  <si>
    <t xml:space="preserve">                                                               КМЕТСТВО СТРУЙНО</t>
  </si>
  <si>
    <t xml:space="preserve">                                                            КМЕТСТВО ЦАРЕВ БРОД</t>
  </si>
  <si>
    <t xml:space="preserve">                                                                        КМЕТСТВО ЧЕРЕНЧА</t>
  </si>
  <si>
    <t xml:space="preserve">                                                              ОБЩО   КМЕТСТВА </t>
  </si>
  <si>
    <t xml:space="preserve">                                                                    КМЕТСТВО БЕЛОКОПИТОВО</t>
  </si>
  <si>
    <t xml:space="preserve">                                                             КМЕТСТВО БЛАГОВО</t>
  </si>
  <si>
    <t xml:space="preserve">                                                                   КМЕТСТВО ВАСИЛ ДРУМЕВ</t>
  </si>
  <si>
    <t xml:space="preserve">                                                                   КМЕТСТВО ВЕЛИНО</t>
  </si>
  <si>
    <t xml:space="preserve">                                                                   КМЕТСТВО ВЕТРИЩЕ</t>
  </si>
  <si>
    <t>брой население по настоящ адрес</t>
  </si>
  <si>
    <t>брой работещи в кметството</t>
  </si>
  <si>
    <t>Дейност 606 "Изграждане,ремонт и поддържане на уличната  мрежа</t>
  </si>
  <si>
    <t>2012-2017</t>
  </si>
  <si>
    <t>облог 2018</t>
  </si>
  <si>
    <t>план 2018</t>
  </si>
  <si>
    <t>план              2018г.</t>
  </si>
  <si>
    <t xml:space="preserve">отчет 2018 </t>
  </si>
  <si>
    <t>отчет 2018</t>
  </si>
  <si>
    <t xml:space="preserve">                        РАЗПРЕДЕЛЕНИЕ НА ПРИХОДИ  И РАЗХОДИ ЗА 2018 Г.</t>
  </si>
  <si>
    <t xml:space="preserve">                              РАЗПРЕДЕЛЕНИЕ НА ПРИХОДИ  И РАЗХОДИ ЗА 2018 Г.</t>
  </si>
  <si>
    <t>24-05</t>
  </si>
  <si>
    <t>С П Р А В К А</t>
  </si>
  <si>
    <t>РАЗХОДИ ПО КМЕТСТВА</t>
  </si>
  <si>
    <t>№</t>
  </si>
  <si>
    <t>КМЕТСТВО</t>
  </si>
  <si>
    <t>ЕЛ.ЕНЕРГИЯ</t>
  </si>
  <si>
    <t>ВОДА</t>
  </si>
  <si>
    <t>ДЪРВА И ВЪГЛИЩА ИЗПИСАНИ ТАЗИ ГОДИНА</t>
  </si>
  <si>
    <t>КАНЦ.МАТ.ПОЧИСТВАЩИ МАТ.И ДР.</t>
  </si>
  <si>
    <t>КАСОВИ АПАРАТИ</t>
  </si>
  <si>
    <t>МОБИЛНИ ТЕЛЕФОНИ</t>
  </si>
  <si>
    <t>ТЕЛ.Р-РИ СТАЦИОНАРНИ</t>
  </si>
  <si>
    <t>ИНТЕРНЕТ</t>
  </si>
  <si>
    <t>РЯЗАНЕ. ЦЕПЕНЕ  НА ДЪРВА</t>
  </si>
  <si>
    <t>ДР.УСЛУГИ</t>
  </si>
  <si>
    <t>КОМАНДИРОВКА</t>
  </si>
  <si>
    <t>УЛИЧНО ОСВЕТЛЕНИЕ</t>
  </si>
  <si>
    <t>ОБЩЕСТВЕНИ ЧЕШМИ</t>
  </si>
  <si>
    <t xml:space="preserve">ОЗЕЛЕНЯВАНЕ </t>
  </si>
  <si>
    <t>ЧИСТОТА</t>
  </si>
  <si>
    <t>ГР.Д-Р ЧИСТОТА</t>
  </si>
  <si>
    <t>СНЕГОПОЧИСТВАНЕ</t>
  </si>
  <si>
    <t xml:space="preserve">СМР МАТЕРИАЛИ </t>
  </si>
  <si>
    <t>СМР АДМИНИСТРАЦИЯ</t>
  </si>
  <si>
    <t>АДМИНИСТРАЦИЯ</t>
  </si>
  <si>
    <t>ПОЧИСТВАНЕ И КОРЕКЦИЯ НА КОРИТО 2606</t>
  </si>
  <si>
    <t>ОСИГУРОВКИ</t>
  </si>
  <si>
    <t>ЗАПЛАТИ</t>
  </si>
  <si>
    <t>КАПИТАЛОВИ РАЗХОДИ</t>
  </si>
  <si>
    <t>ОБЩО</t>
  </si>
  <si>
    <t>БЕЛОКОПИТОВО</t>
  </si>
  <si>
    <t>ВЕТРИЩЕ</t>
  </si>
  <si>
    <t>КЛАДЕНЕЦ</t>
  </si>
  <si>
    <t>КОНЬОВЕЦ</t>
  </si>
  <si>
    <t>ЛОЗЕВО</t>
  </si>
  <si>
    <t>ОВЧАРОВО</t>
  </si>
  <si>
    <t>КОСТЕНА РЕКА</t>
  </si>
  <si>
    <t>ДИВДЯДОВО</t>
  </si>
  <si>
    <t>МАКАК</t>
  </si>
  <si>
    <t>МЪТНИЦА</t>
  </si>
  <si>
    <t>СТРУЙНО</t>
  </si>
  <si>
    <t>ВЕЛИНО</t>
  </si>
  <si>
    <t>В.ДРУМЕВО</t>
  </si>
  <si>
    <t>П.ВОЛОВ</t>
  </si>
  <si>
    <t>Р.ДИМИТРИЕВО</t>
  </si>
  <si>
    <t>ЧЕРЕНЧА</t>
  </si>
  <si>
    <t>СРЕДНЯ</t>
  </si>
  <si>
    <t>ВЕХТОВО</t>
  </si>
  <si>
    <t>ГРАДИЩЕ</t>
  </si>
  <si>
    <t>ДРУМЕВО</t>
  </si>
  <si>
    <t>ДИБИЧ</t>
  </si>
  <si>
    <t>БЛАГОВО</t>
  </si>
  <si>
    <t>ИЛ.Р.БЛЪСКОВ</t>
  </si>
  <si>
    <t>ИВАНСКИ</t>
  </si>
  <si>
    <t>МАДАРА</t>
  </si>
  <si>
    <t>МАРАШ</t>
  </si>
  <si>
    <t>НОВОСЕЛ</t>
  </si>
  <si>
    <t>САЛМАНОВО</t>
  </si>
  <si>
    <t>Ц.БРОД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</si>
  <si>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</si>
  <si>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</si>
  <si>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31.12.2018 г.</t>
  </si>
  <si>
    <t>ПОЧИСТВАНЕ НЕРАГЛАМЕНТИРАНО СМЕТИЩЕ И ДР.ОТ ЧИСТОТА 623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</si>
</sst>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0.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188" fontId="0" fillId="0" borderId="0" xfId="49" applyNumberFormat="1" applyFont="1" applyAlignment="1">
      <alignment horizontal="center" vertical="top" wrapText="1"/>
    </xf>
    <xf numFmtId="188" fontId="3" fillId="0" borderId="0" xfId="49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79" fontId="3" fillId="0" borderId="10" xfId="49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2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0" xfId="49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2" fontId="3" fillId="0" borderId="10" xfId="49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49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43" fontId="6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6" fillId="0" borderId="13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3" fontId="3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43" fontId="3" fillId="0" borderId="10" xfId="0" applyNumberFormat="1" applyFont="1" applyBorder="1" applyAlignment="1">
      <alignment/>
    </xf>
    <xf numFmtId="188" fontId="9" fillId="0" borderId="11" xfId="49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0" fontId="49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9" fillId="0" borderId="11" xfId="0" applyFont="1" applyFill="1" applyBorder="1" applyAlignment="1">
      <alignment/>
    </xf>
    <xf numFmtId="2" fontId="6" fillId="0" borderId="0" xfId="0" applyNumberFormat="1" applyFont="1" applyAlignment="1">
      <alignment horizontal="center" vertical="top" wrapText="1"/>
    </xf>
    <xf numFmtId="0" fontId="33" fillId="0" borderId="14" xfId="0" applyFont="1" applyFill="1" applyBorder="1" applyAlignment="1">
      <alignment textRotation="90" wrapText="1"/>
    </xf>
    <xf numFmtId="49" fontId="49" fillId="0" borderId="10" xfId="0" applyNumberFormat="1" applyFont="1" applyFill="1" applyBorder="1" applyAlignment="1">
      <alignment textRotation="90" wrapText="1"/>
    </xf>
    <xf numFmtId="0" fontId="49" fillId="0" borderId="14" xfId="0" applyFont="1" applyFill="1" applyBorder="1" applyAlignment="1">
      <alignment textRotation="90" wrapText="1"/>
    </xf>
    <xf numFmtId="0" fontId="49" fillId="0" borderId="15" xfId="0" applyFont="1" applyFill="1" applyBorder="1" applyAlignment="1">
      <alignment textRotation="90" wrapText="1"/>
    </xf>
    <xf numFmtId="0" fontId="49" fillId="0" borderId="16" xfId="0" applyFont="1" applyFill="1" applyBorder="1" applyAlignment="1">
      <alignment textRotation="90"/>
    </xf>
    <xf numFmtId="49" fontId="49" fillId="0" borderId="11" xfId="0" applyNumberFormat="1" applyFont="1" applyFill="1" applyBorder="1" applyAlignment="1">
      <alignment textRotation="90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43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4" xfId="0" applyFont="1" applyFill="1" applyBorder="1" applyAlignment="1">
      <alignment textRotation="90"/>
    </xf>
    <xf numFmtId="49" fontId="49" fillId="0" borderId="10" xfId="0" applyNumberFormat="1" applyFont="1" applyFill="1" applyBorder="1" applyAlignment="1">
      <alignment textRotation="90"/>
    </xf>
    <xf numFmtId="2" fontId="30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 textRotation="90"/>
    </xf>
    <xf numFmtId="43" fontId="8" fillId="0" borderId="0" xfId="0" applyNumberFormat="1" applyFont="1" applyAlignment="1">
      <alignment/>
    </xf>
    <xf numFmtId="43" fontId="6" fillId="0" borderId="0" xfId="0" applyNumberFormat="1" applyFont="1" applyAlignment="1">
      <alignment horizontal="center" vertical="top" wrapText="1"/>
    </xf>
    <xf numFmtId="179" fontId="6" fillId="0" borderId="0" xfId="0" applyNumberFormat="1" applyFont="1" applyAlignment="1">
      <alignment vertical="top"/>
    </xf>
    <xf numFmtId="0" fontId="50" fillId="0" borderId="0" xfId="0" applyFont="1" applyFill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88" fontId="6" fillId="0" borderId="19" xfId="49" applyNumberFormat="1" applyFont="1" applyBorder="1" applyAlignment="1">
      <alignment horizontal="center" vertical="top" wrapText="1"/>
    </xf>
    <xf numFmtId="188" fontId="6" fillId="0" borderId="20" xfId="49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5.140625" style="101" customWidth="1"/>
    <col min="2" max="2" width="16.28125" style="101" bestFit="1" customWidth="1"/>
    <col min="3" max="5" width="9.140625" style="101" customWidth="1"/>
    <col min="6" max="6" width="7.57421875" style="101" customWidth="1"/>
    <col min="7" max="9" width="9.140625" style="101" customWidth="1"/>
    <col min="10" max="10" width="8.57421875" style="101" customWidth="1"/>
    <col min="11" max="11" width="8.140625" style="101" customWidth="1"/>
    <col min="12" max="12" width="8.57421875" style="101" customWidth="1"/>
    <col min="13" max="13" width="9.421875" style="101" customWidth="1"/>
    <col min="14" max="14" width="9.57421875" style="101" customWidth="1"/>
    <col min="15" max="15" width="5.57421875" style="101" customWidth="1"/>
    <col min="16" max="16" width="6.7109375" style="101" customWidth="1"/>
    <col min="17" max="17" width="10.28125" style="101" customWidth="1"/>
    <col min="18" max="18" width="8.57421875" style="101" customWidth="1"/>
    <col min="19" max="21" width="6.7109375" style="101" customWidth="1"/>
    <col min="22" max="22" width="10.7109375" style="101" customWidth="1"/>
    <col min="23" max="23" width="7.00390625" style="101" customWidth="1"/>
    <col min="24" max="24" width="11.7109375" style="101" customWidth="1"/>
    <col min="25" max="25" width="10.57421875" style="101" customWidth="1"/>
    <col min="26" max="31" width="9.140625" style="101" customWidth="1"/>
    <col min="32" max="32" width="10.57421875" style="101" bestFit="1" customWidth="1"/>
    <col min="33" max="33" width="9.28125" style="101" bestFit="1" customWidth="1"/>
    <col min="34" max="34" width="10.7109375" style="101" bestFit="1" customWidth="1"/>
    <col min="35" max="16384" width="9.140625" style="101" customWidth="1"/>
  </cols>
  <sheetData>
    <row r="1" spans="1:34" ht="15.75">
      <c r="A1" s="136" t="s">
        <v>110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5.75">
      <c r="A2" s="136" t="s">
        <v>111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6.5" thickBot="1">
      <c r="A3" s="137" t="s">
        <v>170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8"/>
    </row>
    <row r="4" spans="1:34" ht="98.25" customHeight="1" thickBot="1">
      <c r="A4" s="130" t="s">
        <v>112</v>
      </c>
      <c r="B4" s="131" t="s">
        <v>113</v>
      </c>
      <c r="C4" s="132" t="s">
        <v>114</v>
      </c>
      <c r="D4" s="132" t="s">
        <v>115</v>
      </c>
      <c r="E4" s="111" t="s">
        <v>116</v>
      </c>
      <c r="F4" s="111" t="s">
        <v>117</v>
      </c>
      <c r="G4" s="111" t="s">
        <v>118</v>
      </c>
      <c r="H4" s="109" t="s">
        <v>119</v>
      </c>
      <c r="I4" s="109" t="s">
        <v>120</v>
      </c>
      <c r="J4" s="125" t="s">
        <v>121</v>
      </c>
      <c r="K4" s="111" t="s">
        <v>122</v>
      </c>
      <c r="L4" s="109" t="s">
        <v>123</v>
      </c>
      <c r="M4" s="109" t="s">
        <v>124</v>
      </c>
      <c r="N4" s="111" t="s">
        <v>125</v>
      </c>
      <c r="O4" s="109" t="s">
        <v>126</v>
      </c>
      <c r="P4" s="109" t="s">
        <v>127</v>
      </c>
      <c r="Q4" s="109" t="s">
        <v>127</v>
      </c>
      <c r="R4" s="109" t="s">
        <v>127</v>
      </c>
      <c r="S4" s="109" t="s">
        <v>127</v>
      </c>
      <c r="T4" s="109" t="s">
        <v>127</v>
      </c>
      <c r="U4" s="109" t="s">
        <v>127</v>
      </c>
      <c r="V4" s="109" t="s">
        <v>128</v>
      </c>
      <c r="W4" s="109" t="s">
        <v>129</v>
      </c>
      <c r="X4" s="111" t="s">
        <v>171</v>
      </c>
      <c r="Y4" s="111" t="s">
        <v>130</v>
      </c>
      <c r="Z4" s="111" t="s">
        <v>131</v>
      </c>
      <c r="AA4" s="111" t="s">
        <v>132</v>
      </c>
      <c r="AB4" s="111" t="s">
        <v>133</v>
      </c>
      <c r="AC4" s="111">
        <v>2603</v>
      </c>
      <c r="AD4" s="111" t="s">
        <v>134</v>
      </c>
      <c r="AE4" s="112" t="s">
        <v>135</v>
      </c>
      <c r="AF4" s="112" t="s">
        <v>136</v>
      </c>
      <c r="AG4" s="112" t="s">
        <v>137</v>
      </c>
      <c r="AH4" s="113" t="s">
        <v>138</v>
      </c>
    </row>
    <row r="5" spans="1:34" ht="30">
      <c r="A5" s="98"/>
      <c r="B5" s="98"/>
      <c r="C5" s="126"/>
      <c r="D5" s="126"/>
      <c r="E5" s="110"/>
      <c r="F5" s="110"/>
      <c r="G5" s="110"/>
      <c r="H5" s="110"/>
      <c r="I5" s="110"/>
      <c r="J5" s="126"/>
      <c r="K5" s="110"/>
      <c r="L5" s="110"/>
      <c r="M5" s="110"/>
      <c r="N5" s="110"/>
      <c r="O5" s="110"/>
      <c r="P5" s="110" t="s">
        <v>11</v>
      </c>
      <c r="Q5" s="110" t="s">
        <v>12</v>
      </c>
      <c r="R5" s="110" t="s">
        <v>10</v>
      </c>
      <c r="S5" s="110" t="s">
        <v>26</v>
      </c>
      <c r="T5" s="110" t="s">
        <v>4</v>
      </c>
      <c r="U5" s="110" t="s">
        <v>13</v>
      </c>
      <c r="V5" s="110"/>
      <c r="W5" s="110"/>
      <c r="X5" s="110"/>
      <c r="Y5" s="110"/>
      <c r="Z5" s="110" t="s">
        <v>10</v>
      </c>
      <c r="AA5" s="110" t="s">
        <v>13</v>
      </c>
      <c r="AB5" s="110" t="s">
        <v>11</v>
      </c>
      <c r="AC5" s="110" t="s">
        <v>13</v>
      </c>
      <c r="AD5" s="110" t="s">
        <v>13</v>
      </c>
      <c r="AE5" s="110"/>
      <c r="AF5" s="110"/>
      <c r="AG5" s="110"/>
      <c r="AH5" s="114"/>
    </row>
    <row r="6" spans="1:34" ht="15">
      <c r="A6" s="107">
        <v>1</v>
      </c>
      <c r="B6" s="107" t="s">
        <v>139</v>
      </c>
      <c r="C6" s="99">
        <v>159.57</v>
      </c>
      <c r="D6" s="99">
        <v>39.08</v>
      </c>
      <c r="E6" s="99">
        <v>2402.4</v>
      </c>
      <c r="F6" s="99"/>
      <c r="G6" s="99">
        <v>249.6</v>
      </c>
      <c r="H6" s="99">
        <v>85.51</v>
      </c>
      <c r="I6" s="99">
        <v>121.45</v>
      </c>
      <c r="J6" s="99">
        <v>244.8</v>
      </c>
      <c r="K6" s="99">
        <v>216</v>
      </c>
      <c r="L6" s="99">
        <v>40.38</v>
      </c>
      <c r="M6" s="99">
        <v>170</v>
      </c>
      <c r="N6" s="99">
        <v>1585.15</v>
      </c>
      <c r="O6" s="99"/>
      <c r="P6" s="99"/>
      <c r="Q6" s="99">
        <v>810</v>
      </c>
      <c r="R6" s="99"/>
      <c r="S6" s="99"/>
      <c r="T6" s="99"/>
      <c r="U6" s="99"/>
      <c r="V6" s="99">
        <v>13871.59</v>
      </c>
      <c r="W6" s="99"/>
      <c r="X6" s="99"/>
      <c r="Y6" s="99">
        <v>299.17</v>
      </c>
      <c r="Z6" s="99"/>
      <c r="AA6" s="99">
        <v>6906.86</v>
      </c>
      <c r="AB6" s="99"/>
      <c r="AC6" s="99"/>
      <c r="AD6" s="99"/>
      <c r="AE6" s="99">
        <f>AF6*19.22%</f>
        <v>2537.4186339999997</v>
      </c>
      <c r="AF6" s="99">
        <v>13201.97</v>
      </c>
      <c r="AG6" s="99"/>
      <c r="AH6" s="99">
        <f aca="true" t="shared" si="0" ref="AH6:AH34">SUM(C6:AG6)</f>
        <v>42940.948634</v>
      </c>
    </row>
    <row r="7" spans="1:34" ht="15">
      <c r="A7" s="98">
        <v>2</v>
      </c>
      <c r="B7" s="98" t="s">
        <v>140</v>
      </c>
      <c r="C7" s="100">
        <v>696.46</v>
      </c>
      <c r="D7" s="100">
        <v>26.1</v>
      </c>
      <c r="E7" s="100">
        <v>1176</v>
      </c>
      <c r="F7" s="100">
        <v>42.74</v>
      </c>
      <c r="G7" s="100">
        <v>249.6</v>
      </c>
      <c r="H7" s="100">
        <v>85.08</v>
      </c>
      <c r="I7" s="100">
        <v>121.4</v>
      </c>
      <c r="J7" s="100">
        <v>244.8</v>
      </c>
      <c r="K7" s="100">
        <v>115.2</v>
      </c>
      <c r="L7" s="100"/>
      <c r="M7" s="100">
        <v>495</v>
      </c>
      <c r="N7" s="100">
        <v>1816.14</v>
      </c>
      <c r="O7" s="100"/>
      <c r="P7" s="100"/>
      <c r="Q7" s="100">
        <f>39.6+1020</f>
        <v>1059.6</v>
      </c>
      <c r="R7" s="100">
        <v>27</v>
      </c>
      <c r="S7" s="99"/>
      <c r="T7" s="100"/>
      <c r="U7" s="100"/>
      <c r="V7" s="99">
        <v>8073.67</v>
      </c>
      <c r="W7" s="100"/>
      <c r="X7" s="100">
        <v>1188</v>
      </c>
      <c r="Y7" s="100">
        <v>476.88</v>
      </c>
      <c r="Z7" s="100"/>
      <c r="AA7" s="100"/>
      <c r="AB7" s="100"/>
      <c r="AC7" s="100"/>
      <c r="AD7" s="100"/>
      <c r="AE7" s="99">
        <f aca="true" t="shared" si="1" ref="AE7:AE34">AF7*19.22%</f>
        <v>2660.7822039999996</v>
      </c>
      <c r="AF7" s="100">
        <v>13843.82</v>
      </c>
      <c r="AG7" s="100"/>
      <c r="AH7" s="99">
        <f t="shared" si="0"/>
        <v>32398.272204</v>
      </c>
    </row>
    <row r="8" spans="1:34" ht="15">
      <c r="A8" s="98">
        <v>3</v>
      </c>
      <c r="B8" s="98" t="s">
        <v>141</v>
      </c>
      <c r="C8" s="100">
        <v>94.4</v>
      </c>
      <c r="D8" s="100"/>
      <c r="E8" s="100">
        <v>516</v>
      </c>
      <c r="F8" s="100"/>
      <c r="G8" s="100">
        <v>249.6</v>
      </c>
      <c r="H8" s="100">
        <v>85.08</v>
      </c>
      <c r="I8" s="127">
        <v>235.2</v>
      </c>
      <c r="J8" s="100"/>
      <c r="K8" s="100">
        <v>144</v>
      </c>
      <c r="L8" s="100"/>
      <c r="M8" s="100">
        <v>310.17</v>
      </c>
      <c r="N8" s="100">
        <v>1400.12</v>
      </c>
      <c r="O8" s="100"/>
      <c r="P8" s="100"/>
      <c r="Q8" s="100">
        <f>19.8+900</f>
        <v>919.8</v>
      </c>
      <c r="R8" s="100">
        <v>18</v>
      </c>
      <c r="S8" s="99"/>
      <c r="T8" s="100"/>
      <c r="U8" s="100"/>
      <c r="V8" s="99">
        <v>3292.12</v>
      </c>
      <c r="W8" s="100"/>
      <c r="X8" s="100"/>
      <c r="Y8" s="100">
        <v>333.82</v>
      </c>
      <c r="Z8" s="100"/>
      <c r="AA8" s="100"/>
      <c r="AB8" s="100"/>
      <c r="AC8" s="100"/>
      <c r="AD8" s="100">
        <v>4766.26</v>
      </c>
      <c r="AE8" s="99">
        <f t="shared" si="1"/>
        <v>1482.9594619999998</v>
      </c>
      <c r="AF8" s="100">
        <v>7715.71</v>
      </c>
      <c r="AG8" s="100"/>
      <c r="AH8" s="99">
        <f t="shared" si="0"/>
        <v>21563.239461999998</v>
      </c>
    </row>
    <row r="9" spans="1:34" ht="15">
      <c r="A9" s="98">
        <v>4</v>
      </c>
      <c r="B9" s="98" t="s">
        <v>142</v>
      </c>
      <c r="C9" s="100">
        <v>1078.42</v>
      </c>
      <c r="D9" s="100"/>
      <c r="E9" s="100"/>
      <c r="F9" s="100">
        <f>399.6-G9</f>
        <v>150.00000000000003</v>
      </c>
      <c r="G9" s="100">
        <v>249.6</v>
      </c>
      <c r="H9" s="100">
        <v>85.08</v>
      </c>
      <c r="I9" s="100"/>
      <c r="J9" s="100">
        <v>244.8</v>
      </c>
      <c r="K9" s="100"/>
      <c r="L9" s="100">
        <v>172.62</v>
      </c>
      <c r="M9" s="100">
        <v>333.58</v>
      </c>
      <c r="N9" s="100">
        <v>1973.79</v>
      </c>
      <c r="O9" s="100"/>
      <c r="P9" s="100"/>
      <c r="Q9" s="100">
        <v>750</v>
      </c>
      <c r="R9" s="100">
        <v>45</v>
      </c>
      <c r="S9" s="99"/>
      <c r="T9" s="100"/>
      <c r="U9" s="100"/>
      <c r="V9" s="99">
        <v>9147.65</v>
      </c>
      <c r="W9" s="100"/>
      <c r="X9" s="100"/>
      <c r="Y9" s="100">
        <v>929.92</v>
      </c>
      <c r="Z9" s="100"/>
      <c r="AA9" s="100"/>
      <c r="AB9" s="100"/>
      <c r="AC9" s="100"/>
      <c r="AD9" s="100"/>
      <c r="AE9" s="99">
        <f t="shared" si="1"/>
        <v>2393.337826</v>
      </c>
      <c r="AF9" s="100">
        <v>12452.33</v>
      </c>
      <c r="AG9" s="100"/>
      <c r="AH9" s="99">
        <f t="shared" si="0"/>
        <v>30006.127825999996</v>
      </c>
    </row>
    <row r="10" spans="1:34" ht="15">
      <c r="A10" s="98">
        <v>5</v>
      </c>
      <c r="B10" s="98" t="s">
        <v>143</v>
      </c>
      <c r="C10" s="100">
        <v>305.08</v>
      </c>
      <c r="D10" s="100">
        <v>224.17</v>
      </c>
      <c r="E10" s="100">
        <v>585</v>
      </c>
      <c r="F10" s="100">
        <f>481.49-G10</f>
        <v>231.89000000000001</v>
      </c>
      <c r="G10" s="100">
        <v>249.6</v>
      </c>
      <c r="H10" s="100">
        <v>85.08</v>
      </c>
      <c r="I10" s="100">
        <v>143.11</v>
      </c>
      <c r="J10" s="100">
        <v>244.8</v>
      </c>
      <c r="K10" s="100">
        <v>144</v>
      </c>
      <c r="L10" s="100"/>
      <c r="M10" s="100">
        <v>369.93</v>
      </c>
      <c r="N10" s="100">
        <v>3708.36</v>
      </c>
      <c r="O10" s="100"/>
      <c r="P10" s="100"/>
      <c r="Q10" s="100">
        <f>33+630</f>
        <v>663</v>
      </c>
      <c r="R10" s="100">
        <v>18</v>
      </c>
      <c r="S10" s="99"/>
      <c r="T10" s="100"/>
      <c r="U10" s="100"/>
      <c r="V10" s="99">
        <v>18428.370000000003</v>
      </c>
      <c r="W10" s="100"/>
      <c r="X10" s="100"/>
      <c r="Y10" s="100">
        <v>1092.52</v>
      </c>
      <c r="Z10" s="100"/>
      <c r="AA10" s="100"/>
      <c r="AB10" s="100"/>
      <c r="AC10" s="100"/>
      <c r="AD10" s="100"/>
      <c r="AE10" s="99">
        <f t="shared" si="1"/>
        <v>2605.2940639999997</v>
      </c>
      <c r="AF10" s="100">
        <v>13555.12</v>
      </c>
      <c r="AG10" s="100"/>
      <c r="AH10" s="99">
        <f t="shared" si="0"/>
        <v>42653.32406400001</v>
      </c>
    </row>
    <row r="11" spans="1:34" ht="15">
      <c r="A11" s="98">
        <v>6</v>
      </c>
      <c r="B11" s="98" t="s">
        <v>144</v>
      </c>
      <c r="C11" s="100">
        <v>776.28</v>
      </c>
      <c r="D11" s="100"/>
      <c r="E11" s="100">
        <v>390</v>
      </c>
      <c r="F11" s="100"/>
      <c r="G11" s="100">
        <v>249.6</v>
      </c>
      <c r="H11" s="100">
        <v>85.08</v>
      </c>
      <c r="I11" s="100">
        <v>277.63</v>
      </c>
      <c r="J11" s="100">
        <v>244.8</v>
      </c>
      <c r="K11" s="100">
        <v>86.4</v>
      </c>
      <c r="L11" s="100"/>
      <c r="M11" s="100">
        <v>261.78</v>
      </c>
      <c r="N11" s="100">
        <v>2414.6</v>
      </c>
      <c r="O11" s="100"/>
      <c r="P11" s="100"/>
      <c r="Q11" s="100">
        <f>13.2+540</f>
        <v>553.2</v>
      </c>
      <c r="R11" s="100">
        <v>45</v>
      </c>
      <c r="S11" s="99"/>
      <c r="T11" s="100"/>
      <c r="U11" s="100"/>
      <c r="V11" s="99">
        <v>5189.13</v>
      </c>
      <c r="W11" s="100"/>
      <c r="X11" s="100">
        <v>5148</v>
      </c>
      <c r="Y11" s="100">
        <v>439.98</v>
      </c>
      <c r="Z11" s="100"/>
      <c r="AA11" s="100"/>
      <c r="AB11" s="100"/>
      <c r="AC11" s="100"/>
      <c r="AD11" s="100">
        <v>12691.92</v>
      </c>
      <c r="AE11" s="99">
        <f t="shared" si="1"/>
        <v>1532.268372</v>
      </c>
      <c r="AF11" s="100">
        <v>7972.26</v>
      </c>
      <c r="AG11" s="100"/>
      <c r="AH11" s="99">
        <f t="shared" si="0"/>
        <v>38357.928372</v>
      </c>
    </row>
    <row r="12" spans="1:34" ht="15">
      <c r="A12" s="98">
        <v>7</v>
      </c>
      <c r="B12" s="98" t="s">
        <v>145</v>
      </c>
      <c r="C12" s="100">
        <v>5.74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>
        <v>660.12</v>
      </c>
      <c r="O12" s="100"/>
      <c r="P12" s="100"/>
      <c r="Q12" s="100">
        <f>3.3+630</f>
        <v>633.3</v>
      </c>
      <c r="R12" s="100"/>
      <c r="S12" s="100"/>
      <c r="T12" s="100"/>
      <c r="U12" s="100"/>
      <c r="V12" s="99">
        <v>2331.55</v>
      </c>
      <c r="W12" s="100"/>
      <c r="X12" s="100"/>
      <c r="Y12" s="100">
        <v>208.73</v>
      </c>
      <c r="Z12" s="100"/>
      <c r="AA12" s="100"/>
      <c r="AB12" s="100"/>
      <c r="AC12" s="100"/>
      <c r="AD12" s="100"/>
      <c r="AE12" s="99">
        <f t="shared" si="1"/>
        <v>0</v>
      </c>
      <c r="AF12" s="100"/>
      <c r="AG12" s="100"/>
      <c r="AH12" s="99">
        <f t="shared" si="0"/>
        <v>3839.44</v>
      </c>
    </row>
    <row r="13" spans="1:34" ht="15">
      <c r="A13" s="98">
        <v>8</v>
      </c>
      <c r="B13" s="98" t="s">
        <v>146</v>
      </c>
      <c r="C13" s="100">
        <v>530.44</v>
      </c>
      <c r="D13" s="100">
        <v>221</v>
      </c>
      <c r="E13" s="100">
        <v>4170</v>
      </c>
      <c r="F13" s="100"/>
      <c r="G13" s="100"/>
      <c r="H13" s="100">
        <v>85.08</v>
      </c>
      <c r="I13" s="100">
        <v>119.12</v>
      </c>
      <c r="J13" s="100">
        <v>437.76</v>
      </c>
      <c r="K13" s="100">
        <v>288</v>
      </c>
      <c r="L13" s="100">
        <v>97.26</v>
      </c>
      <c r="M13" s="100"/>
      <c r="N13" s="100">
        <v>15478.84</v>
      </c>
      <c r="O13" s="100"/>
      <c r="P13" s="100"/>
      <c r="Q13" s="100">
        <f>99+3222</f>
        <v>3321</v>
      </c>
      <c r="R13" s="100">
        <v>45</v>
      </c>
      <c r="S13" s="100"/>
      <c r="T13" s="100"/>
      <c r="U13" s="100"/>
      <c r="V13" s="99">
        <v>0</v>
      </c>
      <c r="W13" s="100"/>
      <c r="X13" s="100"/>
      <c r="Y13" s="100">
        <v>104.11</v>
      </c>
      <c r="Z13" s="100"/>
      <c r="AA13" s="100"/>
      <c r="AB13" s="100"/>
      <c r="AC13" s="100"/>
      <c r="AD13" s="100">
        <v>12604.19</v>
      </c>
      <c r="AE13" s="99">
        <f t="shared" si="1"/>
        <v>1673.8044519999999</v>
      </c>
      <c r="AF13" s="100">
        <v>8708.66</v>
      </c>
      <c r="AG13" s="100"/>
      <c r="AH13" s="99">
        <f t="shared" si="0"/>
        <v>47884.264452</v>
      </c>
    </row>
    <row r="14" spans="1:34" ht="15">
      <c r="A14" s="98">
        <v>9</v>
      </c>
      <c r="B14" s="98" t="s">
        <v>147</v>
      </c>
      <c r="C14" s="100">
        <v>102.02</v>
      </c>
      <c r="D14" s="100">
        <v>85.99</v>
      </c>
      <c r="E14" s="100">
        <v>2016</v>
      </c>
      <c r="F14" s="100"/>
      <c r="G14" s="100"/>
      <c r="H14" s="100">
        <v>85.08</v>
      </c>
      <c r="I14" s="100">
        <v>120.05</v>
      </c>
      <c r="J14" s="100">
        <v>198</v>
      </c>
      <c r="K14" s="100">
        <v>216</v>
      </c>
      <c r="L14" s="100"/>
      <c r="M14" s="100"/>
      <c r="N14" s="100">
        <v>4096.69</v>
      </c>
      <c r="O14" s="100"/>
      <c r="P14" s="100"/>
      <c r="Q14" s="100">
        <f>33+720</f>
        <v>753</v>
      </c>
      <c r="R14" s="100">
        <v>45</v>
      </c>
      <c r="S14" s="100"/>
      <c r="T14" s="100"/>
      <c r="U14" s="100"/>
      <c r="V14" s="99">
        <v>0</v>
      </c>
      <c r="W14" s="100"/>
      <c r="X14" s="100"/>
      <c r="Y14" s="100">
        <v>26.03</v>
      </c>
      <c r="Z14" s="100"/>
      <c r="AA14" s="100">
        <v>3154.58</v>
      </c>
      <c r="AB14" s="100"/>
      <c r="AC14" s="100"/>
      <c r="AD14" s="100"/>
      <c r="AE14" s="99">
        <f t="shared" si="1"/>
        <v>759.349526</v>
      </c>
      <c r="AF14" s="100">
        <v>3950.83</v>
      </c>
      <c r="AG14" s="100"/>
      <c r="AH14" s="99">
        <f t="shared" si="0"/>
        <v>15608.619525999999</v>
      </c>
    </row>
    <row r="15" spans="1:34" ht="15">
      <c r="A15" s="98">
        <v>10</v>
      </c>
      <c r="B15" s="98" t="s">
        <v>148</v>
      </c>
      <c r="C15" s="100">
        <v>628.25</v>
      </c>
      <c r="D15" s="100">
        <v>140.83</v>
      </c>
      <c r="E15" s="100"/>
      <c r="F15" s="100">
        <v>42.05</v>
      </c>
      <c r="G15" s="100"/>
      <c r="H15" s="100">
        <v>85.08</v>
      </c>
      <c r="I15" s="100">
        <v>121.53</v>
      </c>
      <c r="J15" s="100">
        <v>198</v>
      </c>
      <c r="K15" s="100">
        <v>144</v>
      </c>
      <c r="L15" s="100"/>
      <c r="M15" s="100">
        <v>18</v>
      </c>
      <c r="N15" s="100">
        <v>2520.8</v>
      </c>
      <c r="O15" s="100"/>
      <c r="P15" s="100"/>
      <c r="Q15" s="100">
        <f>52.8+1050</f>
        <v>1102.8</v>
      </c>
      <c r="R15" s="100">
        <v>45</v>
      </c>
      <c r="S15" s="100"/>
      <c r="T15" s="100"/>
      <c r="U15" s="100"/>
      <c r="V15" s="99">
        <v>0</v>
      </c>
      <c r="W15" s="100"/>
      <c r="X15" s="100"/>
      <c r="Y15" s="100"/>
      <c r="Z15" s="100"/>
      <c r="AA15" s="100"/>
      <c r="AB15" s="100"/>
      <c r="AC15" s="100"/>
      <c r="AD15" s="100">
        <v>3125.95</v>
      </c>
      <c r="AE15" s="99">
        <f t="shared" si="1"/>
        <v>695.3469259999999</v>
      </c>
      <c r="AF15" s="100">
        <v>3617.83</v>
      </c>
      <c r="AG15" s="100"/>
      <c r="AH15" s="99">
        <f t="shared" si="0"/>
        <v>12485.466926</v>
      </c>
    </row>
    <row r="16" spans="1:34" ht="15">
      <c r="A16" s="98">
        <v>11</v>
      </c>
      <c r="B16" s="98" t="s">
        <v>149</v>
      </c>
      <c r="C16" s="100">
        <v>374.47</v>
      </c>
      <c r="D16" s="100">
        <v>7.82</v>
      </c>
      <c r="E16" s="100">
        <v>528</v>
      </c>
      <c r="F16" s="100">
        <f>351.04-G16</f>
        <v>101.44000000000003</v>
      </c>
      <c r="G16" s="100">
        <v>249.6</v>
      </c>
      <c r="H16" s="100">
        <v>85.08</v>
      </c>
      <c r="I16" s="100">
        <v>121.86</v>
      </c>
      <c r="J16" s="100">
        <v>244.8</v>
      </c>
      <c r="K16" s="100">
        <v>115.2</v>
      </c>
      <c r="L16" s="100"/>
      <c r="M16" s="100">
        <v>180</v>
      </c>
      <c r="N16" s="100">
        <v>2828.13</v>
      </c>
      <c r="O16" s="100"/>
      <c r="P16" s="100"/>
      <c r="Q16" s="100">
        <f>39.6+1176</f>
        <v>1215.6</v>
      </c>
      <c r="R16" s="100">
        <v>45</v>
      </c>
      <c r="S16" s="100"/>
      <c r="T16" s="100"/>
      <c r="U16" s="100"/>
      <c r="V16" s="99">
        <v>15769.62</v>
      </c>
      <c r="W16" s="100"/>
      <c r="X16" s="100"/>
      <c r="Y16" s="100">
        <v>643.1</v>
      </c>
      <c r="Z16" s="100"/>
      <c r="AA16" s="100">
        <v>5974.75</v>
      </c>
      <c r="AB16" s="100"/>
      <c r="AC16" s="100"/>
      <c r="AD16" s="100"/>
      <c r="AE16" s="99">
        <f t="shared" si="1"/>
        <v>3450.574288</v>
      </c>
      <c r="AF16" s="100">
        <v>17953.04</v>
      </c>
      <c r="AG16" s="100"/>
      <c r="AH16" s="99">
        <f t="shared" si="0"/>
        <v>49888.084288</v>
      </c>
    </row>
    <row r="17" spans="1:34" ht="15">
      <c r="A17" s="98">
        <v>12</v>
      </c>
      <c r="B17" s="98" t="s">
        <v>150</v>
      </c>
      <c r="C17" s="100">
        <v>173.51</v>
      </c>
      <c r="D17" s="100"/>
      <c r="E17" s="100">
        <v>168</v>
      </c>
      <c r="F17" s="100"/>
      <c r="G17" s="100">
        <v>249.6</v>
      </c>
      <c r="H17" s="100">
        <v>85.08</v>
      </c>
      <c r="I17" s="100">
        <v>119.34</v>
      </c>
      <c r="J17" s="100">
        <v>244.8</v>
      </c>
      <c r="K17" s="100">
        <v>216</v>
      </c>
      <c r="L17" s="100">
        <v>190.8</v>
      </c>
      <c r="M17" s="100">
        <v>571.41</v>
      </c>
      <c r="N17" s="100">
        <v>4252.51</v>
      </c>
      <c r="O17" s="100"/>
      <c r="P17" s="100"/>
      <c r="Q17" s="100">
        <f>26.4+1305</f>
        <v>1331.4</v>
      </c>
      <c r="R17" s="100">
        <v>45</v>
      </c>
      <c r="S17" s="100"/>
      <c r="T17" s="100"/>
      <c r="U17" s="100"/>
      <c r="V17" s="99">
        <v>16117.17</v>
      </c>
      <c r="W17" s="100"/>
      <c r="X17" s="100"/>
      <c r="Y17" s="100">
        <v>1587.44</v>
      </c>
      <c r="Z17" s="100"/>
      <c r="AA17" s="100"/>
      <c r="AB17" s="100"/>
      <c r="AC17" s="100"/>
      <c r="AD17" s="100">
        <v>3602.04</v>
      </c>
      <c r="AE17" s="99">
        <f t="shared" si="1"/>
        <v>2527.7817259999997</v>
      </c>
      <c r="AF17" s="100">
        <v>13151.83</v>
      </c>
      <c r="AG17" s="100"/>
      <c r="AH17" s="99">
        <f t="shared" si="0"/>
        <v>44633.711726</v>
      </c>
    </row>
    <row r="18" spans="1:34" ht="15">
      <c r="A18" s="98">
        <v>13</v>
      </c>
      <c r="B18" s="98" t="s">
        <v>151</v>
      </c>
      <c r="C18" s="100"/>
      <c r="D18" s="100">
        <v>83.58</v>
      </c>
      <c r="E18" s="100">
        <v>2419.2</v>
      </c>
      <c r="F18" s="100">
        <v>186</v>
      </c>
      <c r="G18" s="100">
        <v>249.6</v>
      </c>
      <c r="H18" s="100">
        <v>85.08</v>
      </c>
      <c r="I18" s="100">
        <v>124.37</v>
      </c>
      <c r="J18" s="100">
        <v>244.8</v>
      </c>
      <c r="K18" s="100">
        <v>360</v>
      </c>
      <c r="L18" s="100"/>
      <c r="M18" s="100">
        <v>173.84</v>
      </c>
      <c r="N18" s="100">
        <v>4165.6</v>
      </c>
      <c r="O18" s="100"/>
      <c r="P18" s="100"/>
      <c r="Q18" s="100">
        <f>46.2+1110</f>
        <v>1156.2</v>
      </c>
      <c r="R18" s="100">
        <v>45</v>
      </c>
      <c r="S18" s="100"/>
      <c r="T18" s="100"/>
      <c r="U18" s="100"/>
      <c r="V18" s="99">
        <v>16888.97</v>
      </c>
      <c r="W18" s="100"/>
      <c r="X18" s="100">
        <v>4158</v>
      </c>
      <c r="Y18" s="100">
        <v>737.04</v>
      </c>
      <c r="Z18" s="100"/>
      <c r="AA18" s="100">
        <v>184.19</v>
      </c>
      <c r="AB18" s="100"/>
      <c r="AC18" s="100"/>
      <c r="AD18" s="100">
        <v>7985.1</v>
      </c>
      <c r="AE18" s="99">
        <f t="shared" si="1"/>
        <v>2439.19098</v>
      </c>
      <c r="AF18" s="100">
        <v>12690.9</v>
      </c>
      <c r="AG18" s="100"/>
      <c r="AH18" s="99">
        <f t="shared" si="0"/>
        <v>54376.66098</v>
      </c>
    </row>
    <row r="19" spans="1:34" ht="15">
      <c r="A19" s="98">
        <v>14</v>
      </c>
      <c r="B19" s="98" t="s">
        <v>152</v>
      </c>
      <c r="C19" s="100">
        <v>823.85</v>
      </c>
      <c r="D19" s="100">
        <v>78.19</v>
      </c>
      <c r="E19" s="100">
        <v>666.96</v>
      </c>
      <c r="F19" s="100">
        <v>45.5</v>
      </c>
      <c r="G19" s="100">
        <v>249.6</v>
      </c>
      <c r="H19" s="100">
        <v>85.08</v>
      </c>
      <c r="I19" s="100">
        <v>162.96</v>
      </c>
      <c r="J19" s="100">
        <v>244.8</v>
      </c>
      <c r="K19" s="100">
        <v>216</v>
      </c>
      <c r="L19" s="100"/>
      <c r="M19" s="100">
        <v>180</v>
      </c>
      <c r="N19" s="100">
        <v>3380.2</v>
      </c>
      <c r="O19" s="100"/>
      <c r="P19" s="100"/>
      <c r="Q19" s="100">
        <f>59.4+894</f>
        <v>953.4</v>
      </c>
      <c r="R19" s="100">
        <v>27</v>
      </c>
      <c r="S19" s="100"/>
      <c r="T19" s="100"/>
      <c r="U19" s="100"/>
      <c r="V19" s="99">
        <v>21135.5</v>
      </c>
      <c r="W19" s="100"/>
      <c r="X19" s="100"/>
      <c r="Y19" s="100">
        <v>490.51</v>
      </c>
      <c r="Z19" s="100"/>
      <c r="AA19" s="100"/>
      <c r="AB19" s="100"/>
      <c r="AC19" s="100"/>
      <c r="AD19" s="100"/>
      <c r="AE19" s="99">
        <f t="shared" si="1"/>
        <v>2568.795284</v>
      </c>
      <c r="AF19" s="100">
        <v>13365.22</v>
      </c>
      <c r="AG19" s="100"/>
      <c r="AH19" s="99">
        <f t="shared" si="0"/>
        <v>44673.565284</v>
      </c>
    </row>
    <row r="20" spans="1:34" ht="15">
      <c r="A20" s="98">
        <v>15</v>
      </c>
      <c r="B20" s="98" t="s">
        <v>153</v>
      </c>
      <c r="C20" s="100">
        <v>189.16</v>
      </c>
      <c r="D20" s="100">
        <v>91.2</v>
      </c>
      <c r="E20" s="100">
        <v>4653</v>
      </c>
      <c r="F20" s="100">
        <v>169.02</v>
      </c>
      <c r="G20" s="100">
        <v>249.6</v>
      </c>
      <c r="H20" s="100">
        <v>85.08</v>
      </c>
      <c r="I20" s="100">
        <v>117.76</v>
      </c>
      <c r="J20" s="100">
        <v>244.8</v>
      </c>
      <c r="K20" s="100">
        <v>288</v>
      </c>
      <c r="L20" s="100"/>
      <c r="M20" s="100">
        <v>390.94</v>
      </c>
      <c r="N20" s="100">
        <v>3263.45</v>
      </c>
      <c r="O20" s="100"/>
      <c r="P20" s="100"/>
      <c r="Q20" s="100">
        <f>39.6+885</f>
        <v>924.6</v>
      </c>
      <c r="R20" s="100">
        <v>45</v>
      </c>
      <c r="S20" s="100"/>
      <c r="T20" s="100"/>
      <c r="U20" s="100"/>
      <c r="V20" s="99">
        <v>17219.079999999998</v>
      </c>
      <c r="W20" s="100"/>
      <c r="X20" s="100"/>
      <c r="Y20" s="100">
        <v>1115.78</v>
      </c>
      <c r="Z20" s="100"/>
      <c r="AA20" s="100"/>
      <c r="AB20" s="100"/>
      <c r="AC20" s="100"/>
      <c r="AD20" s="100"/>
      <c r="AE20" s="99">
        <f t="shared" si="1"/>
        <v>2199.590616</v>
      </c>
      <c r="AF20" s="100">
        <v>11444.28</v>
      </c>
      <c r="AG20" s="100"/>
      <c r="AH20" s="99">
        <f t="shared" si="0"/>
        <v>42690.340616</v>
      </c>
    </row>
    <row r="21" spans="1:34" ht="15">
      <c r="A21" s="98">
        <v>16</v>
      </c>
      <c r="B21" s="98" t="s">
        <v>154</v>
      </c>
      <c r="C21" s="100">
        <v>677.93</v>
      </c>
      <c r="D21" s="100">
        <v>273.69</v>
      </c>
      <c r="E21" s="100">
        <v>2184</v>
      </c>
      <c r="F21" s="100">
        <f>353.26-G21+110.51</f>
        <v>214.17000000000002</v>
      </c>
      <c r="G21" s="100">
        <v>249.6</v>
      </c>
      <c r="H21" s="100">
        <v>85.08</v>
      </c>
      <c r="I21" s="100">
        <v>166.93</v>
      </c>
      <c r="J21" s="100">
        <v>244.8</v>
      </c>
      <c r="K21" s="100">
        <v>288</v>
      </c>
      <c r="L21" s="100"/>
      <c r="M21" s="100">
        <v>570</v>
      </c>
      <c r="N21" s="100">
        <v>2564.27</v>
      </c>
      <c r="O21" s="100"/>
      <c r="P21" s="100"/>
      <c r="Q21" s="100">
        <f>46.2+1950</f>
        <v>1996.2</v>
      </c>
      <c r="R21" s="100">
        <v>45</v>
      </c>
      <c r="S21" s="100">
        <v>180</v>
      </c>
      <c r="T21" s="100">
        <v>9.49</v>
      </c>
      <c r="U21" s="100"/>
      <c r="V21" s="99">
        <v>10352.130000000001</v>
      </c>
      <c r="W21" s="100"/>
      <c r="X21" s="100"/>
      <c r="Y21" s="100">
        <v>874.92</v>
      </c>
      <c r="Z21" s="100"/>
      <c r="AA21" s="100"/>
      <c r="AB21" s="100"/>
      <c r="AC21" s="100"/>
      <c r="AD21" s="100"/>
      <c r="AE21" s="99">
        <f t="shared" si="1"/>
        <v>3265.2723459999997</v>
      </c>
      <c r="AF21" s="100">
        <v>16988.93</v>
      </c>
      <c r="AG21" s="100"/>
      <c r="AH21" s="99">
        <f t="shared" si="0"/>
        <v>41230.412346</v>
      </c>
    </row>
    <row r="22" spans="1:34" s="104" customFormat="1" ht="15">
      <c r="A22" s="102">
        <v>17</v>
      </c>
      <c r="B22" s="102" t="s">
        <v>155</v>
      </c>
      <c r="C22" s="103">
        <v>946.26</v>
      </c>
      <c r="D22" s="103">
        <v>54.74</v>
      </c>
      <c r="E22" s="103">
        <v>861</v>
      </c>
      <c r="F22" s="103">
        <f>285.5-G22+48.26</f>
        <v>84.16</v>
      </c>
      <c r="G22" s="103">
        <v>249.6</v>
      </c>
      <c r="H22" s="103">
        <v>85.08</v>
      </c>
      <c r="I22" s="103">
        <v>159.63</v>
      </c>
      <c r="J22" s="103">
        <v>244.8</v>
      </c>
      <c r="K22" s="103">
        <v>86.4</v>
      </c>
      <c r="L22" s="103"/>
      <c r="M22" s="103">
        <v>529</v>
      </c>
      <c r="N22" s="103">
        <v>3382.11</v>
      </c>
      <c r="O22" s="103"/>
      <c r="P22" s="103"/>
      <c r="Q22" s="103">
        <f>28.38+2959.38</f>
        <v>2987.76</v>
      </c>
      <c r="R22" s="103">
        <v>45</v>
      </c>
      <c r="S22" s="103"/>
      <c r="T22" s="100"/>
      <c r="U22" s="103"/>
      <c r="V22" s="99">
        <v>13266.75</v>
      </c>
      <c r="W22" s="103"/>
      <c r="X22" s="103"/>
      <c r="Y22" s="103">
        <v>833.83</v>
      </c>
      <c r="Z22" s="103"/>
      <c r="AA22" s="103">
        <f>1089.4+5758.14</f>
        <v>6847.540000000001</v>
      </c>
      <c r="AB22" s="103"/>
      <c r="AC22" s="103"/>
      <c r="AD22" s="103">
        <v>2853.84</v>
      </c>
      <c r="AE22" s="99">
        <f t="shared" si="1"/>
        <v>4150.5878299999995</v>
      </c>
      <c r="AF22" s="103">
        <v>21595.15</v>
      </c>
      <c r="AG22" s="103"/>
      <c r="AH22" s="99">
        <f t="shared" si="0"/>
        <v>59263.23783</v>
      </c>
    </row>
    <row r="23" spans="1:34" ht="16.5" customHeight="1">
      <c r="A23" s="98">
        <v>18</v>
      </c>
      <c r="B23" s="98" t="s">
        <v>156</v>
      </c>
      <c r="C23" s="100">
        <v>641.95</v>
      </c>
      <c r="D23" s="100"/>
      <c r="E23" s="100">
        <v>1680</v>
      </c>
      <c r="F23" s="100">
        <v>6.56</v>
      </c>
      <c r="G23" s="100">
        <v>249.6</v>
      </c>
      <c r="H23" s="100">
        <v>85.08</v>
      </c>
      <c r="I23" s="100">
        <v>128.51</v>
      </c>
      <c r="J23" s="100">
        <v>244.8</v>
      </c>
      <c r="K23" s="100">
        <v>288</v>
      </c>
      <c r="L23" s="100"/>
      <c r="M23" s="100">
        <v>430</v>
      </c>
      <c r="N23" s="100">
        <v>3930.58</v>
      </c>
      <c r="O23" s="100"/>
      <c r="P23" s="100"/>
      <c r="Q23" s="100">
        <f>39.6+1357.02</f>
        <v>1396.62</v>
      </c>
      <c r="R23" s="100">
        <v>27</v>
      </c>
      <c r="S23" s="100"/>
      <c r="T23" s="100"/>
      <c r="U23" s="100"/>
      <c r="V23" s="99">
        <v>13612.009999999998</v>
      </c>
      <c r="W23" s="100"/>
      <c r="X23" s="100">
        <v>2772</v>
      </c>
      <c r="Y23" s="100">
        <v>761.78</v>
      </c>
      <c r="Z23" s="100"/>
      <c r="AA23" s="100"/>
      <c r="AB23" s="100"/>
      <c r="AC23" s="100"/>
      <c r="AD23" s="100">
        <v>5921.47</v>
      </c>
      <c r="AE23" s="99">
        <f t="shared" si="1"/>
        <v>3542.5785059999994</v>
      </c>
      <c r="AF23" s="100">
        <v>18431.73</v>
      </c>
      <c r="AG23" s="100"/>
      <c r="AH23" s="99">
        <f t="shared" si="0"/>
        <v>54150.26850599999</v>
      </c>
    </row>
    <row r="24" spans="1:34" ht="15">
      <c r="A24" s="98">
        <v>19</v>
      </c>
      <c r="B24" s="98" t="s">
        <v>157</v>
      </c>
      <c r="C24" s="100">
        <v>752.66</v>
      </c>
      <c r="D24" s="100">
        <v>83.41</v>
      </c>
      <c r="E24" s="100">
        <v>1143</v>
      </c>
      <c r="F24" s="100">
        <v>47.98</v>
      </c>
      <c r="G24" s="100">
        <v>249.6</v>
      </c>
      <c r="H24" s="100">
        <v>85.08</v>
      </c>
      <c r="I24" s="100">
        <v>118.92</v>
      </c>
      <c r="J24" s="100">
        <v>244.8</v>
      </c>
      <c r="K24" s="100">
        <v>288</v>
      </c>
      <c r="L24" s="100"/>
      <c r="M24" s="100">
        <v>140</v>
      </c>
      <c r="N24" s="100">
        <v>4099.79</v>
      </c>
      <c r="O24" s="100"/>
      <c r="P24" s="100"/>
      <c r="Q24" s="100">
        <f>33+2160</f>
        <v>2193</v>
      </c>
      <c r="R24" s="100">
        <v>45</v>
      </c>
      <c r="S24" s="100"/>
      <c r="T24" s="100"/>
      <c r="U24" s="100"/>
      <c r="V24" s="99">
        <v>14933.6</v>
      </c>
      <c r="W24" s="100"/>
      <c r="X24" s="100"/>
      <c r="Y24" s="100">
        <v>1144.51</v>
      </c>
      <c r="Z24" s="100"/>
      <c r="AA24" s="100"/>
      <c r="AB24" s="100"/>
      <c r="AC24" s="100"/>
      <c r="AD24" s="100">
        <v>2990.74</v>
      </c>
      <c r="AE24" s="99">
        <f t="shared" si="1"/>
        <v>3413.208686</v>
      </c>
      <c r="AF24" s="100">
        <v>17758.63</v>
      </c>
      <c r="AG24" s="100"/>
      <c r="AH24" s="99">
        <f t="shared" si="0"/>
        <v>49731.928686</v>
      </c>
    </row>
    <row r="25" spans="1:34" ht="15">
      <c r="A25" s="98">
        <v>20</v>
      </c>
      <c r="B25" s="98" t="s">
        <v>158</v>
      </c>
      <c r="C25" s="100">
        <v>300.57</v>
      </c>
      <c r="D25" s="100">
        <v>693.54</v>
      </c>
      <c r="E25" s="100">
        <v>1446</v>
      </c>
      <c r="F25" s="100">
        <v>4.7</v>
      </c>
      <c r="G25" s="100">
        <v>249.6</v>
      </c>
      <c r="H25" s="100">
        <v>85.08</v>
      </c>
      <c r="I25" s="100">
        <v>136.52</v>
      </c>
      <c r="J25" s="100">
        <v>244.8</v>
      </c>
      <c r="K25" s="100">
        <v>216</v>
      </c>
      <c r="L25" s="100"/>
      <c r="M25" s="100">
        <v>759.05</v>
      </c>
      <c r="N25" s="100">
        <v>6790.12</v>
      </c>
      <c r="O25" s="100"/>
      <c r="P25" s="100"/>
      <c r="Q25" s="100">
        <f>59.4+2915.4</f>
        <v>2974.8</v>
      </c>
      <c r="R25" s="100">
        <v>45</v>
      </c>
      <c r="S25" s="100"/>
      <c r="T25" s="100"/>
      <c r="U25" s="100"/>
      <c r="V25" s="99">
        <v>23754.06</v>
      </c>
      <c r="W25" s="100"/>
      <c r="X25" s="100"/>
      <c r="Y25" s="100">
        <v>1199.52</v>
      </c>
      <c r="Z25" s="100"/>
      <c r="AA25" s="100"/>
      <c r="AB25" s="100"/>
      <c r="AC25" s="100"/>
      <c r="AD25" s="100"/>
      <c r="AE25" s="99">
        <f t="shared" si="1"/>
        <v>4097.186982</v>
      </c>
      <c r="AF25" s="100">
        <v>21317.31</v>
      </c>
      <c r="AG25" s="100"/>
      <c r="AH25" s="99">
        <f t="shared" si="0"/>
        <v>64313.856982</v>
      </c>
    </row>
    <row r="26" spans="1:34" ht="15">
      <c r="A26" s="98">
        <v>21</v>
      </c>
      <c r="B26" s="98" t="s">
        <v>159</v>
      </c>
      <c r="C26" s="100">
        <v>544.09</v>
      </c>
      <c r="D26" s="100">
        <v>109.39</v>
      </c>
      <c r="E26" s="100">
        <v>1783.5</v>
      </c>
      <c r="F26" s="100"/>
      <c r="G26" s="100">
        <v>249.6</v>
      </c>
      <c r="H26" s="100">
        <v>85.08</v>
      </c>
      <c r="I26" s="100">
        <v>240.6</v>
      </c>
      <c r="J26" s="100">
        <v>244.8</v>
      </c>
      <c r="K26" s="100">
        <v>216</v>
      </c>
      <c r="L26" s="100">
        <v>222.24</v>
      </c>
      <c r="M26" s="100">
        <v>30</v>
      </c>
      <c r="N26" s="100">
        <v>6090.11</v>
      </c>
      <c r="O26" s="100"/>
      <c r="P26" s="100"/>
      <c r="Q26" s="100">
        <f>264+2010</f>
        <v>2274</v>
      </c>
      <c r="R26" s="100">
        <v>45</v>
      </c>
      <c r="S26" s="100"/>
      <c r="T26" s="100"/>
      <c r="U26" s="100"/>
      <c r="V26" s="99">
        <v>47132.68</v>
      </c>
      <c r="W26" s="100"/>
      <c r="X26" s="100">
        <v>4752</v>
      </c>
      <c r="Y26" s="100">
        <v>2215.37</v>
      </c>
      <c r="Z26" s="100"/>
      <c r="AA26" s="100"/>
      <c r="AB26" s="100"/>
      <c r="AC26" s="100"/>
      <c r="AD26" s="100"/>
      <c r="AE26" s="99">
        <f t="shared" si="1"/>
        <v>3925.8426039999995</v>
      </c>
      <c r="AF26" s="100">
        <v>20425.82</v>
      </c>
      <c r="AG26" s="100"/>
      <c r="AH26" s="99">
        <f t="shared" si="0"/>
        <v>90586.122604</v>
      </c>
    </row>
    <row r="27" spans="1:34" ht="15">
      <c r="A27" s="98">
        <v>22</v>
      </c>
      <c r="B27" s="98" t="s">
        <v>160</v>
      </c>
      <c r="C27" s="100">
        <v>272.02</v>
      </c>
      <c r="D27" s="100"/>
      <c r="E27" s="100">
        <v>117.6</v>
      </c>
      <c r="F27" s="100"/>
      <c r="G27" s="100">
        <v>249.6</v>
      </c>
      <c r="H27" s="100">
        <v>85.08</v>
      </c>
      <c r="I27" s="100"/>
      <c r="J27" s="100">
        <v>244.8</v>
      </c>
      <c r="K27" s="100">
        <v>72</v>
      </c>
      <c r="L27" s="100"/>
      <c r="M27" s="100"/>
      <c r="N27" s="127">
        <v>1040.83</v>
      </c>
      <c r="O27" s="100"/>
      <c r="P27" s="100"/>
      <c r="Q27" s="100">
        <f>19.8+588.6</f>
        <v>608.4</v>
      </c>
      <c r="R27" s="100">
        <v>27</v>
      </c>
      <c r="S27" s="100"/>
      <c r="T27" s="100"/>
      <c r="U27" s="100"/>
      <c r="V27" s="99">
        <v>4563.53</v>
      </c>
      <c r="W27" s="100"/>
      <c r="X27" s="100"/>
      <c r="Y27" s="100">
        <v>242.81</v>
      </c>
      <c r="Z27" s="100"/>
      <c r="AA27" s="100"/>
      <c r="AB27" s="100"/>
      <c r="AC27" s="100"/>
      <c r="AD27" s="100"/>
      <c r="AE27" s="99">
        <f t="shared" si="1"/>
        <v>1583.7914259999998</v>
      </c>
      <c r="AF27" s="100">
        <v>8240.33</v>
      </c>
      <c r="AG27" s="100"/>
      <c r="AH27" s="99">
        <f t="shared" si="0"/>
        <v>17347.791426000003</v>
      </c>
    </row>
    <row r="28" spans="1:34" ht="15">
      <c r="A28" s="98">
        <v>23</v>
      </c>
      <c r="B28" s="98" t="s">
        <v>161</v>
      </c>
      <c r="C28" s="100">
        <v>354.66</v>
      </c>
      <c r="D28" s="100">
        <v>28.58</v>
      </c>
      <c r="E28" s="100">
        <v>2034</v>
      </c>
      <c r="F28" s="100">
        <v>52.6</v>
      </c>
      <c r="G28" s="100">
        <v>249.6</v>
      </c>
      <c r="H28" s="100">
        <v>85.08</v>
      </c>
      <c r="I28" s="100">
        <v>270.58</v>
      </c>
      <c r="J28" s="100">
        <v>244.8</v>
      </c>
      <c r="K28" s="100">
        <v>288</v>
      </c>
      <c r="L28" s="100"/>
      <c r="M28" s="100">
        <v>426.5</v>
      </c>
      <c r="N28" s="100">
        <v>4287.88</v>
      </c>
      <c r="O28" s="100"/>
      <c r="P28" s="100"/>
      <c r="Q28" s="100">
        <f>13.2+1594.8</f>
        <v>1608</v>
      </c>
      <c r="R28" s="100">
        <v>45</v>
      </c>
      <c r="S28" s="100"/>
      <c r="T28" s="100"/>
      <c r="U28" s="100"/>
      <c r="V28" s="99">
        <v>18871.01</v>
      </c>
      <c r="W28" s="100"/>
      <c r="X28" s="100">
        <v>10692</v>
      </c>
      <c r="Y28" s="100">
        <v>1136.18</v>
      </c>
      <c r="Z28" s="100"/>
      <c r="AA28" s="100"/>
      <c r="AB28" s="100"/>
      <c r="AC28" s="100"/>
      <c r="AD28" s="100">
        <v>2593.76</v>
      </c>
      <c r="AE28" s="99">
        <f t="shared" si="1"/>
        <v>4272.7809019999995</v>
      </c>
      <c r="AF28" s="100">
        <v>22230.91</v>
      </c>
      <c r="AG28" s="100"/>
      <c r="AH28" s="99">
        <f t="shared" si="0"/>
        <v>69771.920902</v>
      </c>
    </row>
    <row r="29" spans="1:34" ht="15">
      <c r="A29" s="98">
        <v>24</v>
      </c>
      <c r="B29" s="98" t="s">
        <v>162</v>
      </c>
      <c r="C29" s="100">
        <v>1863.91</v>
      </c>
      <c r="D29" s="100">
        <v>119.89</v>
      </c>
      <c r="E29" s="100">
        <v>1482</v>
      </c>
      <c r="F29" s="100"/>
      <c r="G29" s="100">
        <v>249.6</v>
      </c>
      <c r="H29" s="100">
        <v>85.08</v>
      </c>
      <c r="I29" s="100">
        <v>121.87</v>
      </c>
      <c r="J29" s="100">
        <v>244.8</v>
      </c>
      <c r="K29" s="100">
        <v>144</v>
      </c>
      <c r="L29" s="100">
        <v>36</v>
      </c>
      <c r="M29" s="100">
        <v>75.26</v>
      </c>
      <c r="N29" s="127">
        <v>8210.52</v>
      </c>
      <c r="O29" s="100"/>
      <c r="P29" s="100"/>
      <c r="Q29" s="100">
        <f>52.8+2190</f>
        <v>2242.8</v>
      </c>
      <c r="R29" s="100">
        <v>45</v>
      </c>
      <c r="S29" s="100"/>
      <c r="T29" s="100"/>
      <c r="U29" s="100"/>
      <c r="V29" s="99">
        <v>35637.939999999995</v>
      </c>
      <c r="W29" s="100"/>
      <c r="X29" s="100">
        <v>22176</v>
      </c>
      <c r="Y29" s="100">
        <v>3004.34</v>
      </c>
      <c r="Z29" s="100"/>
      <c r="AA29" s="100"/>
      <c r="AB29" s="100"/>
      <c r="AC29" s="100"/>
      <c r="AD29" s="100"/>
      <c r="AE29" s="99">
        <f t="shared" si="1"/>
        <v>3700.5438419999996</v>
      </c>
      <c r="AF29" s="100">
        <v>19253.61</v>
      </c>
      <c r="AG29" s="100"/>
      <c r="AH29" s="99">
        <f t="shared" si="0"/>
        <v>98693.163842</v>
      </c>
    </row>
    <row r="30" spans="1:34" ht="15">
      <c r="A30" s="98">
        <v>25</v>
      </c>
      <c r="B30" s="98" t="s">
        <v>163</v>
      </c>
      <c r="C30" s="100">
        <v>1024.05</v>
      </c>
      <c r="D30" s="100">
        <v>338.75</v>
      </c>
      <c r="E30" s="100">
        <v>1176</v>
      </c>
      <c r="F30" s="100"/>
      <c r="G30" s="100">
        <v>249.6</v>
      </c>
      <c r="H30" s="100">
        <v>85.08</v>
      </c>
      <c r="I30" s="100">
        <v>133.08</v>
      </c>
      <c r="J30" s="100">
        <v>244.8</v>
      </c>
      <c r="K30" s="100">
        <v>216</v>
      </c>
      <c r="L30" s="100"/>
      <c r="M30" s="100">
        <v>200</v>
      </c>
      <c r="N30" s="100">
        <v>6469.49</v>
      </c>
      <c r="O30" s="100"/>
      <c r="P30" s="100"/>
      <c r="Q30" s="100">
        <f>85.8+1020</f>
        <v>1105.8</v>
      </c>
      <c r="R30" s="100">
        <v>45</v>
      </c>
      <c r="S30" s="100"/>
      <c r="T30" s="100"/>
      <c r="U30" s="100"/>
      <c r="V30" s="99">
        <v>49157.98</v>
      </c>
      <c r="W30" s="100"/>
      <c r="X30" s="100">
        <v>5148</v>
      </c>
      <c r="Y30" s="100">
        <v>1072.98</v>
      </c>
      <c r="Z30" s="100"/>
      <c r="AA30" s="100"/>
      <c r="AB30" s="100"/>
      <c r="AC30" s="100"/>
      <c r="AD30" s="100"/>
      <c r="AE30" s="99">
        <f t="shared" si="1"/>
        <v>3393.5370159999993</v>
      </c>
      <c r="AF30" s="100">
        <v>17656.28</v>
      </c>
      <c r="AG30" s="100"/>
      <c r="AH30" s="99">
        <f t="shared" si="0"/>
        <v>87716.427016</v>
      </c>
    </row>
    <row r="31" spans="1:34" ht="15">
      <c r="A31" s="98">
        <v>26</v>
      </c>
      <c r="B31" s="98" t="s">
        <v>164</v>
      </c>
      <c r="C31" s="100">
        <v>203.87</v>
      </c>
      <c r="D31" s="100">
        <v>226.85</v>
      </c>
      <c r="E31" s="100">
        <v>1260</v>
      </c>
      <c r="F31" s="100">
        <v>79.9</v>
      </c>
      <c r="G31" s="100">
        <v>249.6</v>
      </c>
      <c r="H31" s="100">
        <v>85.07</v>
      </c>
      <c r="I31" s="100">
        <v>164.12</v>
      </c>
      <c r="J31" s="100">
        <v>244.8</v>
      </c>
      <c r="K31" s="100">
        <v>216</v>
      </c>
      <c r="L31" s="100"/>
      <c r="M31" s="100">
        <v>352</v>
      </c>
      <c r="N31" s="100">
        <v>4312.8</v>
      </c>
      <c r="O31" s="100"/>
      <c r="P31" s="100"/>
      <c r="Q31" s="100">
        <f>21.12+1885.5</f>
        <v>1906.62</v>
      </c>
      <c r="R31" s="100">
        <v>45</v>
      </c>
      <c r="S31" s="100">
        <v>150</v>
      </c>
      <c r="T31" s="100"/>
      <c r="U31" s="100"/>
      <c r="V31" s="99">
        <v>22428.98</v>
      </c>
      <c r="W31" s="100"/>
      <c r="X31" s="100"/>
      <c r="Y31" s="100">
        <v>1267.25</v>
      </c>
      <c r="Z31" s="100"/>
      <c r="AA31" s="100"/>
      <c r="AB31" s="100"/>
      <c r="AC31" s="100"/>
      <c r="AD31" s="100"/>
      <c r="AE31" s="99">
        <f t="shared" si="1"/>
        <v>3770.1567599999994</v>
      </c>
      <c r="AF31" s="100">
        <v>19615.8</v>
      </c>
      <c r="AG31" s="100"/>
      <c r="AH31" s="99">
        <f t="shared" si="0"/>
        <v>56578.81676</v>
      </c>
    </row>
    <row r="32" spans="1:34" ht="15">
      <c r="A32" s="98">
        <v>27</v>
      </c>
      <c r="B32" s="98" t="s">
        <v>165</v>
      </c>
      <c r="C32" s="100">
        <v>546.36</v>
      </c>
      <c r="D32" s="100">
        <v>67.67</v>
      </c>
      <c r="E32" s="100">
        <v>1290</v>
      </c>
      <c r="F32" s="100">
        <f>495.75-G32+79.86+88.01</f>
        <v>414.02</v>
      </c>
      <c r="G32" s="100">
        <v>249.6</v>
      </c>
      <c r="H32" s="100">
        <v>85.08</v>
      </c>
      <c r="I32" s="100">
        <v>124.53</v>
      </c>
      <c r="J32" s="100">
        <v>244.8</v>
      </c>
      <c r="K32" s="100">
        <v>288</v>
      </c>
      <c r="L32" s="100"/>
      <c r="M32" s="100">
        <v>615.67</v>
      </c>
      <c r="N32" s="100">
        <v>4552.46</v>
      </c>
      <c r="O32" s="100"/>
      <c r="P32" s="100"/>
      <c r="Q32" s="100">
        <f>27.72+2235</f>
        <v>2262.72</v>
      </c>
      <c r="R32" s="100">
        <v>45</v>
      </c>
      <c r="S32" s="100"/>
      <c r="T32" s="100"/>
      <c r="U32" s="100"/>
      <c r="V32" s="99">
        <v>18783.47</v>
      </c>
      <c r="W32" s="100"/>
      <c r="X32" s="100"/>
      <c r="Y32" s="100">
        <v>1747.26</v>
      </c>
      <c r="Z32" s="100"/>
      <c r="AA32" s="100"/>
      <c r="AB32" s="100"/>
      <c r="AC32" s="100"/>
      <c r="AD32" s="100">
        <v>5785.82</v>
      </c>
      <c r="AE32" s="99">
        <f t="shared" si="1"/>
        <v>4021.364082</v>
      </c>
      <c r="AF32" s="100">
        <v>20922.81</v>
      </c>
      <c r="AG32" s="100"/>
      <c r="AH32" s="99">
        <f t="shared" si="0"/>
        <v>62046.634082000004</v>
      </c>
    </row>
    <row r="33" spans="1:34" ht="15">
      <c r="A33" s="98">
        <v>28</v>
      </c>
      <c r="B33" s="98" t="s">
        <v>166</v>
      </c>
      <c r="C33" s="100">
        <v>1227.29</v>
      </c>
      <c r="D33" s="100">
        <v>634.77</v>
      </c>
      <c r="E33" s="100">
        <v>4660.5</v>
      </c>
      <c r="F33" s="100">
        <f>35.09+10.75+191+66.46+1189.6-G33</f>
        <v>1243.3</v>
      </c>
      <c r="G33" s="100">
        <v>249.6</v>
      </c>
      <c r="H33" s="100">
        <v>85.08</v>
      </c>
      <c r="I33" s="100">
        <v>280.93</v>
      </c>
      <c r="J33" s="100">
        <v>244.8</v>
      </c>
      <c r="K33" s="100">
        <v>288</v>
      </c>
      <c r="L33" s="100"/>
      <c r="M33" s="100">
        <v>466</v>
      </c>
      <c r="N33" s="100">
        <v>4860.12</v>
      </c>
      <c r="O33" s="100"/>
      <c r="P33" s="100"/>
      <c r="Q33" s="100">
        <f>132+2068.68</f>
        <v>2200.68</v>
      </c>
      <c r="R33" s="100">
        <v>45</v>
      </c>
      <c r="S33" s="100"/>
      <c r="T33" s="100"/>
      <c r="U33" s="100"/>
      <c r="V33" s="99">
        <v>19906.120000000003</v>
      </c>
      <c r="W33" s="100"/>
      <c r="X33" s="100">
        <v>4894.56</v>
      </c>
      <c r="Y33" s="100">
        <v>747.9</v>
      </c>
      <c r="Z33" s="100"/>
      <c r="AA33" s="100"/>
      <c r="AB33" s="100"/>
      <c r="AC33" s="100"/>
      <c r="AD33" s="100">
        <v>12776.94</v>
      </c>
      <c r="AE33" s="99">
        <f t="shared" si="1"/>
        <v>4123.449189999999</v>
      </c>
      <c r="AF33" s="100">
        <v>21453.95</v>
      </c>
      <c r="AG33" s="100"/>
      <c r="AH33" s="99">
        <f t="shared" si="0"/>
        <v>80388.98919000001</v>
      </c>
    </row>
    <row r="34" spans="1:34" ht="15">
      <c r="A34" s="98">
        <v>29</v>
      </c>
      <c r="B34" s="98" t="s">
        <v>167</v>
      </c>
      <c r="C34" s="100">
        <v>581.18</v>
      </c>
      <c r="D34" s="100">
        <v>54.69</v>
      </c>
      <c r="E34" s="100">
        <v>2754</v>
      </c>
      <c r="F34" s="100">
        <v>61.7</v>
      </c>
      <c r="G34" s="100">
        <v>249.6</v>
      </c>
      <c r="H34" s="100">
        <v>84.65</v>
      </c>
      <c r="I34" s="100">
        <v>124.29</v>
      </c>
      <c r="J34" s="100">
        <v>244.8</v>
      </c>
      <c r="K34" s="100">
        <v>230.4</v>
      </c>
      <c r="L34" s="100"/>
      <c r="M34" s="100">
        <v>735.15</v>
      </c>
      <c r="N34" s="100">
        <v>5882.77</v>
      </c>
      <c r="O34" s="100"/>
      <c r="P34" s="100"/>
      <c r="Q34" s="100">
        <f>47.52+1719</f>
        <v>1766.52</v>
      </c>
      <c r="R34" s="100">
        <v>45</v>
      </c>
      <c r="S34" s="100"/>
      <c r="T34" s="100"/>
      <c r="U34" s="100"/>
      <c r="V34" s="99">
        <v>58743.06</v>
      </c>
      <c r="W34" s="100"/>
      <c r="X34" s="100"/>
      <c r="Y34" s="100">
        <v>741.35</v>
      </c>
      <c r="Z34" s="100"/>
      <c r="AA34" s="100"/>
      <c r="AB34" s="100"/>
      <c r="AC34" s="100"/>
      <c r="AD34" s="100"/>
      <c r="AE34" s="99">
        <f t="shared" si="1"/>
        <v>4228.5941219999995</v>
      </c>
      <c r="AF34" s="100">
        <v>22001.01</v>
      </c>
      <c r="AG34" s="100"/>
      <c r="AH34" s="99">
        <f t="shared" si="0"/>
        <v>98528.764122</v>
      </c>
    </row>
    <row r="35" spans="1:34" ht="15">
      <c r="A35" s="98"/>
      <c r="B35" s="98" t="s">
        <v>59</v>
      </c>
      <c r="C35" s="100">
        <f>SUM(C6:C34)</f>
        <v>15874.45</v>
      </c>
      <c r="D35" s="100">
        <f aca="true" t="shared" si="2" ref="D35:AG35">SUM(D6:D34)</f>
        <v>3683.93</v>
      </c>
      <c r="E35" s="100">
        <f>SUM(E6:E34)</f>
        <v>43562.159999999996</v>
      </c>
      <c r="F35" s="100">
        <f t="shared" si="2"/>
        <v>3177.73</v>
      </c>
      <c r="G35" s="100">
        <f>SUM(G6:G34)</f>
        <v>6240.000000000002</v>
      </c>
      <c r="H35" s="100">
        <f>SUM(H6:H34)</f>
        <v>2382.2299999999996</v>
      </c>
      <c r="I35" s="100">
        <f>SUM(I6:I34)</f>
        <v>4076.29</v>
      </c>
      <c r="J35" s="100">
        <f t="shared" si="2"/>
        <v>6708.960000000004</v>
      </c>
      <c r="K35" s="100">
        <f t="shared" si="2"/>
        <v>5673.6</v>
      </c>
      <c r="L35" s="100">
        <f t="shared" si="2"/>
        <v>759.3</v>
      </c>
      <c r="M35" s="100">
        <f t="shared" si="2"/>
        <v>8783.28</v>
      </c>
      <c r="N35" s="100">
        <f t="shared" si="2"/>
        <v>120018.35000000002</v>
      </c>
      <c r="O35" s="100">
        <f t="shared" si="2"/>
        <v>0</v>
      </c>
      <c r="P35" s="100">
        <f t="shared" si="2"/>
        <v>0</v>
      </c>
      <c r="Q35" s="100">
        <f t="shared" si="2"/>
        <v>43670.82000000001</v>
      </c>
      <c r="R35" s="100">
        <f t="shared" si="2"/>
        <v>1089</v>
      </c>
      <c r="S35" s="100">
        <f t="shared" si="2"/>
        <v>330</v>
      </c>
      <c r="T35" s="100">
        <f t="shared" si="2"/>
        <v>9.49</v>
      </c>
      <c r="U35" s="100">
        <f t="shared" si="2"/>
        <v>0</v>
      </c>
      <c r="V35" s="100">
        <f t="shared" si="2"/>
        <v>498607.74000000005</v>
      </c>
      <c r="W35" s="100"/>
      <c r="X35" s="100">
        <f t="shared" si="2"/>
        <v>60928.56</v>
      </c>
      <c r="Y35" s="100">
        <f t="shared" si="2"/>
        <v>25475.03</v>
      </c>
      <c r="Z35" s="100">
        <f t="shared" si="2"/>
        <v>0</v>
      </c>
      <c r="AA35" s="100">
        <f t="shared" si="2"/>
        <v>23067.92</v>
      </c>
      <c r="AB35" s="100"/>
      <c r="AC35" s="100">
        <f>SUM(AC6:AC34)</f>
        <v>0</v>
      </c>
      <c r="AD35" s="100">
        <f t="shared" si="2"/>
        <v>77698.03</v>
      </c>
      <c r="AE35" s="100">
        <f>SUM(AE6:AE34)</f>
        <v>81015.38865399998</v>
      </c>
      <c r="AF35" s="100">
        <f>SUM(AF6:AF34)</f>
        <v>421516.07</v>
      </c>
      <c r="AG35" s="100">
        <f t="shared" si="2"/>
        <v>0</v>
      </c>
      <c r="AH35" s="100">
        <f>SUM(AH6:AH34)</f>
        <v>1454348.328654</v>
      </c>
    </row>
    <row r="37" spans="11:32" ht="12.75">
      <c r="K37" s="129"/>
      <c r="Q37" s="129"/>
      <c r="R37" s="128"/>
      <c r="Y37" s="129"/>
      <c r="AF37" s="128"/>
    </row>
    <row r="38" spans="3:32" ht="12.75">
      <c r="C38" s="128"/>
      <c r="D38" s="128"/>
      <c r="H38" s="128"/>
      <c r="I38" s="128"/>
      <c r="J38" s="128"/>
      <c r="K38" s="128"/>
      <c r="M38" s="128"/>
      <c r="N38" s="128"/>
      <c r="Q38" s="128"/>
      <c r="R38" s="128"/>
      <c r="X38" s="128"/>
      <c r="Y38" s="128"/>
      <c r="AF38" s="128"/>
    </row>
    <row r="39" spans="4:31" ht="12.75">
      <c r="D39" s="128"/>
      <c r="J39" s="128"/>
      <c r="V39" s="128"/>
      <c r="Y39" s="128"/>
      <c r="AE39" s="128"/>
    </row>
    <row r="40" spans="9:32" ht="12.75">
      <c r="I40" s="128"/>
      <c r="N40" s="128"/>
      <c r="AF40" s="128"/>
    </row>
    <row r="41" spans="5:13" ht="12.75">
      <c r="E41" s="101" t="s">
        <v>169</v>
      </c>
      <c r="I41" s="101" t="s">
        <v>168</v>
      </c>
      <c r="M41" s="128"/>
    </row>
    <row r="44" ht="12.75">
      <c r="I44" s="128"/>
    </row>
  </sheetData>
  <sheetProtection/>
  <mergeCells count="3">
    <mergeCell ref="A1:AH1"/>
    <mergeCell ref="A2:AH2"/>
    <mergeCell ref="A3:AH3"/>
  </mergeCells>
  <printOptions/>
  <pageMargins left="0.7086614173228347" right="0.7086614173228347" top="0.7480314960629921" bottom="0.7086614173228347" header="0.31496062992125984" footer="0.31496062992125984"/>
  <pageSetup fitToHeight="1" fitToWidth="1" horizontalDpi="600" verticalDpi="600" orientation="landscape" scale="40" r:id="rId3"/>
  <rowBreaks count="1" manualBreakCount="1">
    <brk id="35" max="255" man="1"/>
  </rowBreaks>
  <colBreaks count="1" manualBreakCount="1">
    <brk id="15" max="34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0">
      <selection activeCell="D32" sqref="D32"/>
    </sheetView>
  </sheetViews>
  <sheetFormatPr defaultColWidth="9.140625" defaultRowHeight="12.75"/>
  <cols>
    <col min="1" max="1" width="40.7109375" style="0" customWidth="1"/>
    <col min="2" max="2" width="12.421875" style="3" customWidth="1"/>
    <col min="3" max="3" width="12.140625" style="8" customWidth="1"/>
    <col min="4" max="4" width="12.8515625" style="8" customWidth="1"/>
    <col min="5" max="5" width="10.57421875" style="8" customWidth="1"/>
    <col min="6" max="6" width="13.00390625" style="8" customWidth="1"/>
    <col min="7" max="7" width="12.140625" style="8" customWidth="1"/>
    <col min="8" max="10" width="13.421875" style="8" customWidth="1"/>
    <col min="11" max="11" width="12.00390625" style="0" customWidth="1"/>
    <col min="12" max="12" width="12.7109375" style="0" customWidth="1"/>
    <col min="13" max="13" width="10.421875" style="0" customWidth="1"/>
    <col min="14" max="14" width="13.00390625" style="0" customWidth="1"/>
    <col min="15" max="15" width="10.8515625" style="0" bestFit="1" customWidth="1"/>
    <col min="16" max="16" width="12.851562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5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/>
      <c r="O8" s="9"/>
    </row>
    <row r="9" spans="1:15" ht="19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1</v>
      </c>
      <c r="O9" s="9"/>
    </row>
    <row r="10" spans="1:15" ht="15.75">
      <c r="A10" s="11" t="s">
        <v>46</v>
      </c>
      <c r="B10" s="4" t="s">
        <v>47</v>
      </c>
      <c r="C10" s="23">
        <v>0</v>
      </c>
      <c r="D10" s="23">
        <v>0</v>
      </c>
      <c r="E10" s="23">
        <f>SUM(C10:D10)</f>
        <v>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0</v>
      </c>
      <c r="D12" s="23">
        <f>SUM(D13:D14)</f>
        <v>0</v>
      </c>
      <c r="E12" s="23">
        <f>SUM(C12:D12)</f>
        <v>0</v>
      </c>
      <c r="F12" s="23"/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0</v>
      </c>
      <c r="D13" s="23">
        <v>0</v>
      </c>
      <c r="E13" s="23">
        <f>SUM(C13:D13)</f>
        <v>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0</v>
      </c>
      <c r="D16" s="53">
        <f>D10+D12</f>
        <v>0</v>
      </c>
      <c r="E16" s="53">
        <f>E10+E12</f>
        <v>0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1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3.75" customHeight="1">
      <c r="A25" s="29" t="s">
        <v>1</v>
      </c>
      <c r="B25" s="26" t="s">
        <v>17</v>
      </c>
      <c r="C25" s="76">
        <v>7749</v>
      </c>
      <c r="D25" s="76">
        <f>+'РАЗХОДИ ПО КМЕТСТВА'!AF13</f>
        <v>8708.66</v>
      </c>
      <c r="E25" s="76"/>
      <c r="F25" s="76"/>
      <c r="G25" s="30"/>
      <c r="H25" s="76"/>
      <c r="I25" s="76"/>
      <c r="J25" s="76"/>
      <c r="K25" s="30"/>
      <c r="L25" s="76"/>
      <c r="M25" s="30"/>
      <c r="N25" s="76"/>
      <c r="O25" s="33">
        <f>C25+E25+G25+K25+M25</f>
        <v>7749</v>
      </c>
      <c r="P25" s="86">
        <f>D25+F25+H25+L25+N25</f>
        <v>8708.66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6.75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19.5" customHeight="1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1489.3578</v>
      </c>
      <c r="D31" s="30">
        <f>+'РАЗХОДИ ПО КМЕТСТВА'!AE13</f>
        <v>1673.8044519999999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1489.3578</v>
      </c>
      <c r="P31" s="86">
        <f t="shared" si="1"/>
        <v>1673.8044519999999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9.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8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КМЕТСТВА'!F13+'РАЗХОДИ ПО КМЕТСТВА'!G13</f>
        <v>0</v>
      </c>
      <c r="G38" s="30"/>
      <c r="H38" s="30"/>
      <c r="I38" s="30"/>
      <c r="J38" s="30"/>
      <c r="K38" s="30"/>
      <c r="L38" s="30">
        <f>+'РАЗХОДИ ПО КМЕТСТВА'!R13</f>
        <v>45</v>
      </c>
      <c r="M38" s="30"/>
      <c r="N38" s="30"/>
      <c r="O38" s="33">
        <f t="shared" si="0"/>
        <v>200</v>
      </c>
      <c r="P38" s="86">
        <f t="shared" si="1"/>
        <v>45</v>
      </c>
    </row>
    <row r="39" spans="1:16" s="2" customFormat="1" ht="31.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КМЕТСТВА'!C13+'РАЗХОДИ ПО КМЕТСТВА'!D13+'РАЗХОДИ ПО КМЕТСТВА'!E13</f>
        <v>4921.4400000000005</v>
      </c>
      <c r="G39" s="30">
        <v>17066</v>
      </c>
      <c r="H39" s="30">
        <f>+'РАЗХОДИ ПО КМЕТСТВА'!N13</f>
        <v>15478.84</v>
      </c>
      <c r="I39" s="30"/>
      <c r="J39" s="30"/>
      <c r="K39" s="30"/>
      <c r="L39" s="30"/>
      <c r="M39" s="30"/>
      <c r="N39" s="30"/>
      <c r="O39" s="33">
        <f t="shared" si="0"/>
        <v>18106</v>
      </c>
      <c r="P39" s="86">
        <f t="shared" si="1"/>
        <v>20400.28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КМЕТСТВА'!H13+'РАЗХОДИ ПО КМЕТСТВА'!I13+'РАЗХОДИ ПО КМЕТСТВА'!J13+'РАЗХОДИ ПО КМЕТСТВА'!L13+'РАЗХОДИ ПО КМЕТСТВА'!K13</f>
        <v>1027.22</v>
      </c>
      <c r="G40" s="30"/>
      <c r="H40" s="30"/>
      <c r="I40" s="30"/>
      <c r="J40" s="30">
        <f>+'РАЗХОДИ ПО КМЕТСТВА'!Y13+'РАЗХОДИ ПО КМЕТСТВА'!AD13</f>
        <v>12708.300000000001</v>
      </c>
      <c r="K40" s="23"/>
      <c r="L40" s="30">
        <f>+'РАЗХОДИ ПО КМЕТСТВА'!Q13</f>
        <v>3321</v>
      </c>
      <c r="M40" s="30"/>
      <c r="N40" s="30">
        <f>+'РАЗХОДИ ПО КМЕТСТВА'!X13</f>
        <v>0</v>
      </c>
      <c r="O40" s="33">
        <f t="shared" si="0"/>
        <v>520</v>
      </c>
      <c r="P40" s="86">
        <f>D40+F40+H40+L40+N40+J40</f>
        <v>17056.52</v>
      </c>
    </row>
    <row r="41" spans="1:16" ht="15.75">
      <c r="A41" s="29" t="s">
        <v>31</v>
      </c>
      <c r="B41" s="26" t="s">
        <v>13</v>
      </c>
      <c r="C41" s="30"/>
      <c r="D41" s="30"/>
      <c r="E41" s="24"/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0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/>
      <c r="F42" s="30"/>
      <c r="G42" s="30"/>
      <c r="H42" s="30"/>
      <c r="I42" s="30"/>
      <c r="J42" s="30"/>
      <c r="K42" s="23"/>
      <c r="L42" s="23"/>
      <c r="M42" s="23"/>
      <c r="N42" s="23"/>
      <c r="O42" s="33">
        <f t="shared" si="0"/>
        <v>0</v>
      </c>
      <c r="P42" s="86">
        <f t="shared" si="1"/>
        <v>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 customHeight="1">
      <c r="A45" s="36" t="s">
        <v>59</v>
      </c>
      <c r="B45" s="26"/>
      <c r="C45" s="54">
        <f aca="true" t="shared" si="2" ref="C45:N45">SUM(C25:C44)</f>
        <v>9238.3578</v>
      </c>
      <c r="D45" s="54">
        <f t="shared" si="2"/>
        <v>10382.464452</v>
      </c>
      <c r="E45" s="54">
        <f t="shared" si="2"/>
        <v>1760</v>
      </c>
      <c r="F45" s="54">
        <f t="shared" si="2"/>
        <v>5948.660000000001</v>
      </c>
      <c r="G45" s="54">
        <f t="shared" si="2"/>
        <v>17066</v>
      </c>
      <c r="H45" s="54">
        <f t="shared" si="2"/>
        <v>15478.84</v>
      </c>
      <c r="I45" s="54">
        <f t="shared" si="2"/>
        <v>0</v>
      </c>
      <c r="J45" s="54">
        <f t="shared" si="2"/>
        <v>12708.300000000001</v>
      </c>
      <c r="K45" s="54">
        <f t="shared" si="2"/>
        <v>400</v>
      </c>
      <c r="L45" s="54">
        <f t="shared" si="2"/>
        <v>3366</v>
      </c>
      <c r="M45" s="54">
        <f t="shared" si="2"/>
        <v>0</v>
      </c>
      <c r="N45" s="54">
        <f t="shared" si="2"/>
        <v>0</v>
      </c>
      <c r="O45" s="38">
        <f>SUM(O25:O44)</f>
        <v>28464.357799999998</v>
      </c>
      <c r="P45" s="38">
        <f>SUM(P25:P44)</f>
        <v>47884.264452</v>
      </c>
    </row>
    <row r="46" ht="9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КМЕТСТВА'!AH13-Дивдядово!P45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7.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6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C22:F22"/>
    <mergeCell ref="A2:O2"/>
    <mergeCell ref="A3:O3"/>
    <mergeCell ref="A21:O21"/>
    <mergeCell ref="A22:A23"/>
    <mergeCell ref="B22:B23"/>
    <mergeCell ref="C23:D23"/>
    <mergeCell ref="E23:F23"/>
    <mergeCell ref="G22:H22"/>
    <mergeCell ref="O22:P23"/>
    <mergeCell ref="G23:H23"/>
    <mergeCell ref="H8:M8"/>
    <mergeCell ref="H9:M9"/>
    <mergeCell ref="K22:L22"/>
    <mergeCell ref="M22:N22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3">
      <selection activeCell="D32" sqref="D32"/>
    </sheetView>
  </sheetViews>
  <sheetFormatPr defaultColWidth="9.140625" defaultRowHeight="12.75"/>
  <cols>
    <col min="1" max="1" width="38.8515625" style="0" customWidth="1"/>
    <col min="2" max="2" width="13.7109375" style="3" customWidth="1"/>
    <col min="3" max="4" width="12.57421875" style="8" customWidth="1"/>
    <col min="5" max="5" width="12.140625" style="8" customWidth="1"/>
    <col min="6" max="6" width="13.00390625" style="8" customWidth="1"/>
    <col min="7" max="7" width="11.7109375" style="8" customWidth="1"/>
    <col min="8" max="10" width="13.28125" style="8" customWidth="1"/>
    <col min="11" max="11" width="12.00390625" style="0" customWidth="1"/>
    <col min="12" max="12" width="12.7109375" style="0" customWidth="1"/>
    <col min="13" max="13" width="11.421875" style="0" customWidth="1"/>
    <col min="14" max="14" width="13.0039062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40.5" customHeight="1">
      <c r="A1" s="56"/>
    </row>
    <row r="2" spans="1:15" ht="15.75">
      <c r="A2" s="139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2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0.25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12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1036</v>
      </c>
      <c r="O8" s="9"/>
    </row>
    <row r="9" spans="1:15" ht="20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26539</v>
      </c>
      <c r="D10" s="23">
        <v>17692</v>
      </c>
      <c r="E10" s="23">
        <f>SUM(C10:D10)</f>
        <v>44231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50883</v>
      </c>
      <c r="D12" s="23">
        <f>SUM(D13:D14)</f>
        <v>20925</v>
      </c>
      <c r="E12" s="23">
        <f>SUM(C12:D12)</f>
        <v>71808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50883</v>
      </c>
      <c r="D13" s="23">
        <v>20925</v>
      </c>
      <c r="E13" s="23">
        <f>SUM(C13:D13)</f>
        <v>71808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15293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77422</v>
      </c>
      <c r="D16" s="53">
        <f>D10+D12</f>
        <v>38617</v>
      </c>
      <c r="E16" s="53">
        <f>E10+E12+E15</f>
        <v>131332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7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6.5" customHeight="1">
      <c r="A23" s="142"/>
      <c r="B23" s="171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.7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3.75" customHeight="1">
      <c r="A25" s="29" t="s">
        <v>1</v>
      </c>
      <c r="B25" s="26" t="s">
        <v>17</v>
      </c>
      <c r="C25" s="33">
        <v>18900</v>
      </c>
      <c r="D25" s="33">
        <f>+'РАЗХОДИ ПО КМЕТСТВА'!AF25</f>
        <v>21317.31</v>
      </c>
      <c r="E25" s="33"/>
      <c r="F25" s="77"/>
      <c r="G25" s="33"/>
      <c r="H25" s="77"/>
      <c r="I25" s="77"/>
      <c r="J25" s="77"/>
      <c r="K25" s="33"/>
      <c r="L25" s="77"/>
      <c r="M25" s="33"/>
      <c r="N25" s="77"/>
      <c r="O25" s="88">
        <f>C25+E25+G25+K25+M25</f>
        <v>18900</v>
      </c>
      <c r="P25" s="86">
        <f>D25+F25+H25+L25+N25</f>
        <v>21317.31</v>
      </c>
    </row>
    <row r="26" spans="1:16" s="2" customFormat="1" ht="30">
      <c r="A26" s="29" t="s">
        <v>24</v>
      </c>
      <c r="B26" s="26" t="s">
        <v>25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88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1.5" customHeight="1">
      <c r="A27" s="29" t="s">
        <v>32</v>
      </c>
      <c r="B27" s="26" t="s">
        <v>26</v>
      </c>
      <c r="C27" s="33"/>
      <c r="D27" s="33"/>
      <c r="E27" s="33"/>
      <c r="F27" s="33"/>
      <c r="G27" s="33"/>
      <c r="H27" s="33"/>
      <c r="I27" s="33"/>
      <c r="J27" s="33"/>
      <c r="K27" s="33">
        <v>400</v>
      </c>
      <c r="L27" s="33"/>
      <c r="M27" s="33"/>
      <c r="N27" s="33"/>
      <c r="O27" s="88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8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88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88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3">
        <f>C25*19.22/100</f>
        <v>3632.58</v>
      </c>
      <c r="D31" s="33">
        <f>+'РАЗХОДИ ПО КМЕТСТВА'!AE25</f>
        <v>4097.186982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88">
        <f t="shared" si="0"/>
        <v>3632.58</v>
      </c>
      <c r="P31" s="86">
        <f t="shared" si="1"/>
        <v>4097.186982</v>
      </c>
    </row>
    <row r="32" spans="1:16" s="2" customFormat="1" ht="15">
      <c r="A32" s="29" t="s">
        <v>19</v>
      </c>
      <c r="B32" s="26" t="s">
        <v>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88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88">
        <f t="shared" si="0"/>
        <v>0</v>
      </c>
      <c r="P33" s="86">
        <f t="shared" si="1"/>
        <v>0</v>
      </c>
    </row>
    <row r="34" spans="1:16" s="2" customFormat="1" ht="21" customHeight="1">
      <c r="A34" s="29" t="s">
        <v>21</v>
      </c>
      <c r="B34" s="26" t="s">
        <v>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88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88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88">
        <f t="shared" si="0"/>
        <v>0</v>
      </c>
      <c r="P36" s="86">
        <f t="shared" si="1"/>
        <v>0</v>
      </c>
    </row>
    <row r="37" spans="1:16" s="2" customFormat="1" ht="22.5" customHeight="1">
      <c r="A37" s="29" t="s">
        <v>29</v>
      </c>
      <c r="B37" s="26" t="s">
        <v>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88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3"/>
      <c r="D38" s="33"/>
      <c r="E38" s="33">
        <f>200</f>
        <v>200</v>
      </c>
      <c r="F38" s="33">
        <f>+'РАЗХОДИ ПО КМЕТСТВА'!F25+'РАЗХОДИ ПО КМЕТСТВА'!G25</f>
        <v>254.29999999999998</v>
      </c>
      <c r="G38" s="33"/>
      <c r="H38" s="33"/>
      <c r="I38" s="33"/>
      <c r="J38" s="33"/>
      <c r="K38" s="33"/>
      <c r="L38" s="33">
        <f>+'РАЗХОДИ ПО КМЕТСТВА'!R25</f>
        <v>45</v>
      </c>
      <c r="M38" s="33"/>
      <c r="N38" s="33"/>
      <c r="O38" s="88">
        <f t="shared" si="0"/>
        <v>200</v>
      </c>
      <c r="P38" s="86">
        <f t="shared" si="1"/>
        <v>299.29999999999995</v>
      </c>
    </row>
    <row r="39" spans="1:16" s="2" customFormat="1" ht="30.75" customHeight="1">
      <c r="A39" s="29" t="s">
        <v>62</v>
      </c>
      <c r="B39" s="26" t="s">
        <v>11</v>
      </c>
      <c r="C39" s="33"/>
      <c r="D39" s="33"/>
      <c r="E39" s="33">
        <v>1040</v>
      </c>
      <c r="F39" s="33">
        <f>+'РАЗХОДИ ПО КМЕТСТВА'!C25+'РАЗХОДИ ПО КМЕТСТВА'!D25+'РАЗХОДИ ПО КМЕТСТВА'!E25</f>
        <v>2440.1099999999997</v>
      </c>
      <c r="G39" s="33">
        <v>7911</v>
      </c>
      <c r="H39" s="33">
        <f>+'РАЗХОДИ ПО КМЕТСТВА'!N25</f>
        <v>6790.12</v>
      </c>
      <c r="I39" s="33"/>
      <c r="J39" s="33"/>
      <c r="K39" s="33"/>
      <c r="L39" s="33"/>
      <c r="M39" s="33"/>
      <c r="N39" s="33"/>
      <c r="O39" s="88">
        <f t="shared" si="0"/>
        <v>8951</v>
      </c>
      <c r="P39" s="86">
        <f t="shared" si="1"/>
        <v>9230.23</v>
      </c>
    </row>
    <row r="40" spans="1:16" ht="30">
      <c r="A40" s="29" t="s">
        <v>61</v>
      </c>
      <c r="B40" s="26" t="s">
        <v>12</v>
      </c>
      <c r="C40" s="33"/>
      <c r="D40" s="33"/>
      <c r="E40" s="33">
        <v>520</v>
      </c>
      <c r="F40" s="33">
        <f>+'РАЗХОДИ ПО КМЕТСТВА'!H25+'РАЗХОДИ ПО КМЕТСТВА'!I25+'РАЗХОДИ ПО КМЕТСТВА'!J25+'РАЗХОДИ ПО КМЕТСТВА'!K25</f>
        <v>682.4000000000001</v>
      </c>
      <c r="G40" s="33"/>
      <c r="H40" s="33"/>
      <c r="I40" s="33"/>
      <c r="J40" s="33">
        <f>+'РАЗХОДИ ПО КМЕТСТВА'!Y25+'РАЗХОДИ ПО КМЕТСТВА'!AD25</f>
        <v>1199.52</v>
      </c>
      <c r="K40" s="61"/>
      <c r="L40" s="97">
        <f>+'РАЗХОДИ ПО КМЕТСТВА'!Q25</f>
        <v>2974.8</v>
      </c>
      <c r="M40" s="33">
        <v>22185</v>
      </c>
      <c r="N40" s="33">
        <f>+'РАЗХОДИ ПО КМЕТСТВА'!V25</f>
        <v>23754.06</v>
      </c>
      <c r="O40" s="88">
        <f t="shared" si="0"/>
        <v>22705</v>
      </c>
      <c r="P40" s="86">
        <f>D40+F40+H40+L40+N40+J40</f>
        <v>28610.780000000002</v>
      </c>
    </row>
    <row r="41" spans="1:16" ht="15.75">
      <c r="A41" s="29" t="s">
        <v>31</v>
      </c>
      <c r="B41" s="26" t="s">
        <v>13</v>
      </c>
      <c r="C41" s="33"/>
      <c r="D41" s="33"/>
      <c r="E41" s="62">
        <v>8930</v>
      </c>
      <c r="F41" s="62"/>
      <c r="G41" s="62"/>
      <c r="H41" s="62"/>
      <c r="I41" s="62"/>
      <c r="J41" s="62"/>
      <c r="K41" s="61"/>
      <c r="L41" s="61"/>
      <c r="M41" s="61"/>
      <c r="N41" s="61"/>
      <c r="O41" s="88">
        <f t="shared" si="0"/>
        <v>8930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3"/>
      <c r="D42" s="33"/>
      <c r="E42" s="33">
        <v>840</v>
      </c>
      <c r="F42" s="33">
        <f>+'РАЗХОДИ ПО КМЕТСТВА'!M25</f>
        <v>759.05</v>
      </c>
      <c r="G42" s="33"/>
      <c r="H42" s="33"/>
      <c r="I42" s="33"/>
      <c r="J42" s="33"/>
      <c r="K42" s="61"/>
      <c r="L42" s="61"/>
      <c r="M42" s="61"/>
      <c r="N42" s="61"/>
      <c r="O42" s="88">
        <f t="shared" si="0"/>
        <v>840</v>
      </c>
      <c r="P42" s="86">
        <f t="shared" si="1"/>
        <v>759.05</v>
      </c>
    </row>
    <row r="43" spans="1:16" ht="15">
      <c r="A43" s="29" t="s">
        <v>2</v>
      </c>
      <c r="B43" s="26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88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88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N45">SUM(C25:C44)</f>
        <v>22532.58</v>
      </c>
      <c r="D45" s="54">
        <f t="shared" si="2"/>
        <v>25414.496982</v>
      </c>
      <c r="E45" s="54">
        <f t="shared" si="2"/>
        <v>11530</v>
      </c>
      <c r="F45" s="54">
        <f t="shared" si="2"/>
        <v>4135.86</v>
      </c>
      <c r="G45" s="54">
        <f t="shared" si="2"/>
        <v>7911</v>
      </c>
      <c r="H45" s="54">
        <f t="shared" si="2"/>
        <v>6790.12</v>
      </c>
      <c r="I45" s="54">
        <f t="shared" si="2"/>
        <v>0</v>
      </c>
      <c r="J45" s="54">
        <f t="shared" si="2"/>
        <v>1199.52</v>
      </c>
      <c r="K45" s="54">
        <f t="shared" si="2"/>
        <v>400</v>
      </c>
      <c r="L45" s="54">
        <f t="shared" si="2"/>
        <v>3019.8</v>
      </c>
      <c r="M45" s="54">
        <f t="shared" si="2"/>
        <v>22185</v>
      </c>
      <c r="N45" s="54">
        <f t="shared" si="2"/>
        <v>23754.06</v>
      </c>
      <c r="O45" s="38">
        <f>SUM(O25:O44)</f>
        <v>64558.58</v>
      </c>
      <c r="P45" s="38">
        <f>SUM(P25:P44)</f>
        <v>64313.856982</v>
      </c>
    </row>
    <row r="46" spans="3:14" ht="8.25" customHeight="1">
      <c r="C46" s="64"/>
      <c r="D46" s="64"/>
      <c r="E46" s="64"/>
      <c r="F46" s="64"/>
      <c r="G46" s="64"/>
      <c r="H46" s="64"/>
      <c r="I46" s="64"/>
      <c r="J46" s="64"/>
      <c r="K46" s="65"/>
      <c r="L46" s="65"/>
      <c r="M46" s="65"/>
      <c r="N46" s="65"/>
    </row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КМЕТСТВА'!AH25-Друмево!P45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2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8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7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1.25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E23:F23"/>
    <mergeCell ref="C23:D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2755905511811024"/>
  <pageSetup fitToWidth="0" fitToHeight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26">
      <selection activeCell="D32" sqref="D32"/>
    </sheetView>
  </sheetViews>
  <sheetFormatPr defaultColWidth="9.140625" defaultRowHeight="12.75"/>
  <cols>
    <col min="1" max="1" width="39.28125" style="0" customWidth="1"/>
    <col min="2" max="2" width="13.7109375" style="3" customWidth="1"/>
    <col min="3" max="3" width="11.8515625" style="8" customWidth="1"/>
    <col min="4" max="4" width="13.28125" style="8" customWidth="1"/>
    <col min="5" max="5" width="11.8515625" style="8" customWidth="1"/>
    <col min="6" max="6" width="12.8515625" style="8" customWidth="1"/>
    <col min="7" max="7" width="11.140625" style="8" customWidth="1"/>
    <col min="8" max="10" width="12.7109375" style="8" customWidth="1"/>
    <col min="11" max="11" width="10.421875" style="0" customWidth="1"/>
    <col min="12" max="12" width="13.140625" style="0" customWidth="1"/>
    <col min="13" max="13" width="11.7109375" style="0" customWidth="1"/>
    <col min="14" max="14" width="13.28125" style="0" customWidth="1"/>
    <col min="15" max="15" width="10.8515625" style="0" bestFit="1" customWidth="1"/>
    <col min="16" max="16" width="12.5742187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9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11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1579</v>
      </c>
      <c r="O8" s="9"/>
    </row>
    <row r="9" spans="1:15" ht="18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61116</v>
      </c>
      <c r="D10" s="23">
        <v>32704</v>
      </c>
      <c r="E10" s="23">
        <f>SUM(C10:D10)</f>
        <v>93820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54660</v>
      </c>
      <c r="D12" s="23">
        <f>SUM(D13:D14)</f>
        <v>26951</v>
      </c>
      <c r="E12" s="23">
        <f>SUM(C12:D12)</f>
        <v>81611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54660</v>
      </c>
      <c r="D13" s="23">
        <v>26951</v>
      </c>
      <c r="E13" s="23">
        <f>SUM(C13:D13)</f>
        <v>81611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25360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115776</v>
      </c>
      <c r="D16" s="53">
        <f>D10+D12</f>
        <v>59655</v>
      </c>
      <c r="E16" s="53">
        <f>E10+E12+E15</f>
        <v>200791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3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0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8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3.75" customHeight="1">
      <c r="A25" s="29" t="s">
        <v>1</v>
      </c>
      <c r="B25" s="26" t="s">
        <v>17</v>
      </c>
      <c r="C25" s="76">
        <v>22236</v>
      </c>
      <c r="D25" s="76">
        <f>+'РАЗХОДИ ПО КМЕТСТВА'!AF29</f>
        <v>19253.61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22236</v>
      </c>
      <c r="P25" s="86">
        <f>D25+F25+H25+L25+N25</f>
        <v>19253.61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4273.7591999999995</v>
      </c>
      <c r="D31" s="30">
        <f>+'РАЗХОДИ ПО КМЕТСТВА'!AE29</f>
        <v>3700.5438419999996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4273.7591999999995</v>
      </c>
      <c r="P31" s="86">
        <f t="shared" si="1"/>
        <v>3700.5438419999996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8.7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8.75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КМЕТСТВА'!G29</f>
        <v>249.6</v>
      </c>
      <c r="G38" s="30"/>
      <c r="H38" s="30"/>
      <c r="I38" s="30"/>
      <c r="J38" s="30"/>
      <c r="K38" s="30"/>
      <c r="L38" s="30">
        <f>+'РАЗХОДИ ПО КМЕТСТВА'!R29</f>
        <v>45</v>
      </c>
      <c r="M38" s="30"/>
      <c r="N38" s="30"/>
      <c r="O38" s="33">
        <f t="shared" si="0"/>
        <v>200</v>
      </c>
      <c r="P38" s="86">
        <f t="shared" si="1"/>
        <v>294.6</v>
      </c>
    </row>
    <row r="39" spans="1:16" s="2" customFormat="1" ht="32.25" customHeight="1">
      <c r="A39" s="29" t="s">
        <v>62</v>
      </c>
      <c r="B39" s="26" t="s">
        <v>11</v>
      </c>
      <c r="C39" s="30"/>
      <c r="D39" s="30"/>
      <c r="E39" s="30">
        <f>1040</f>
        <v>1040</v>
      </c>
      <c r="F39" s="30">
        <f>+'РАЗХОДИ ПО КМЕТСТВА'!C29+'РАЗХОДИ ПО КМЕТСТВА'!D29+'РАЗХОДИ ПО КМЕТСТВА'!E29</f>
        <v>3465.8</v>
      </c>
      <c r="G39" s="30">
        <v>9539</v>
      </c>
      <c r="H39" s="30">
        <f>+'РАЗХОДИ ПО КМЕТСТВА'!N29</f>
        <v>8210.52</v>
      </c>
      <c r="I39" s="30"/>
      <c r="J39" s="30"/>
      <c r="K39" s="30"/>
      <c r="L39" s="30"/>
      <c r="M39" s="30"/>
      <c r="N39" s="30"/>
      <c r="O39" s="33">
        <f t="shared" si="0"/>
        <v>10579</v>
      </c>
      <c r="P39" s="86">
        <f t="shared" si="1"/>
        <v>11676.32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КМЕТСТВА'!H29+'РАЗХОДИ ПО КМЕТСТВА'!I29+'РАЗХОДИ ПО КМЕТСТВА'!J29+'РАЗХОДИ ПО КМЕТСТВА'!K29+'РАЗХОДИ ПО КМЕТСТВА'!L29</f>
        <v>631.75</v>
      </c>
      <c r="G40" s="30"/>
      <c r="H40" s="30"/>
      <c r="I40" s="30"/>
      <c r="J40" s="30">
        <f>+'РАЗХОДИ ПО КМЕТСТВА'!Y29</f>
        <v>3004.34</v>
      </c>
      <c r="K40" s="23"/>
      <c r="L40" s="96">
        <f>+'РАЗХОДИ ПО КМЕТСТВА'!Q29</f>
        <v>2242.8</v>
      </c>
      <c r="M40" s="30">
        <v>29375</v>
      </c>
      <c r="N40" s="30">
        <f>+'РАЗХОДИ ПО КМЕТСТВА'!V29+'РАЗХОДИ ПО КМЕТСТВА'!X29</f>
        <v>57813.939999999995</v>
      </c>
      <c r="O40" s="33">
        <f t="shared" si="0"/>
        <v>29895</v>
      </c>
      <c r="P40" s="86">
        <f>D40+F40+H40+L40+N40+J40</f>
        <v>63692.83</v>
      </c>
    </row>
    <row r="41" spans="1:16" ht="15.75">
      <c r="A41" s="29" t="s">
        <v>31</v>
      </c>
      <c r="B41" s="26" t="s">
        <v>13</v>
      </c>
      <c r="C41" s="30"/>
      <c r="D41" s="30"/>
      <c r="E41" s="24">
        <v>13611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13611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300</v>
      </c>
      <c r="F42" s="30">
        <f>+'РАЗХОДИ ПО КМЕТСТВА'!M29</f>
        <v>75.26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300</v>
      </c>
      <c r="P42" s="86">
        <f t="shared" si="1"/>
        <v>75.26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26509.7592</v>
      </c>
      <c r="D45" s="54">
        <f t="shared" si="2"/>
        <v>22954.153842</v>
      </c>
      <c r="E45" s="54">
        <f t="shared" si="2"/>
        <v>15671</v>
      </c>
      <c r="F45" s="54">
        <f t="shared" si="2"/>
        <v>4422.41</v>
      </c>
      <c r="G45" s="54">
        <f t="shared" si="2"/>
        <v>9539</v>
      </c>
      <c r="H45" s="54">
        <f t="shared" si="2"/>
        <v>8210.52</v>
      </c>
      <c r="I45" s="54">
        <f t="shared" si="2"/>
        <v>0</v>
      </c>
      <c r="J45" s="54">
        <f t="shared" si="2"/>
        <v>3004.34</v>
      </c>
      <c r="K45" s="54">
        <f t="shared" si="2"/>
        <v>400</v>
      </c>
      <c r="L45" s="54">
        <f t="shared" si="2"/>
        <v>2287.8</v>
      </c>
      <c r="M45" s="54">
        <f t="shared" si="2"/>
        <v>29375</v>
      </c>
      <c r="N45" s="54">
        <f t="shared" si="2"/>
        <v>57813.939999999995</v>
      </c>
      <c r="O45" s="38">
        <f t="shared" si="2"/>
        <v>81494.7592</v>
      </c>
      <c r="P45" s="38">
        <f>SUM(P25:P44)</f>
        <v>98693.163842</v>
      </c>
    </row>
    <row r="46" ht="6.75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КМЕТСТВА'!AH29-Ивански!P45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6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P50" s="92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7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C22:F22"/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G22:H22"/>
    <mergeCell ref="K22:L22"/>
    <mergeCell ref="M22:N22"/>
    <mergeCell ref="I22:J22"/>
    <mergeCell ref="I23:J23"/>
  </mergeCells>
  <printOptions/>
  <pageMargins left="0.52" right="0.17" top="0.66" bottom="0.28" header="0.31" footer="0.28"/>
  <pageSetup fitToWidth="0" fitToHeight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3">
      <selection activeCell="D32" sqref="D32"/>
    </sheetView>
  </sheetViews>
  <sheetFormatPr defaultColWidth="9.140625" defaultRowHeight="12.75"/>
  <cols>
    <col min="1" max="1" width="38.8515625" style="0" customWidth="1"/>
    <col min="2" max="2" width="13.7109375" style="3" customWidth="1"/>
    <col min="3" max="3" width="11.28125" style="8" customWidth="1"/>
    <col min="4" max="4" width="12.8515625" style="8" customWidth="1"/>
    <col min="5" max="5" width="11.57421875" style="8" customWidth="1"/>
    <col min="6" max="6" width="12.7109375" style="8" customWidth="1"/>
    <col min="7" max="7" width="11.421875" style="8" customWidth="1"/>
    <col min="8" max="10" width="13.57421875" style="8" customWidth="1"/>
    <col min="11" max="11" width="9.57421875" style="0" customWidth="1"/>
    <col min="12" max="12" width="12.57421875" style="0" customWidth="1"/>
    <col min="13" max="13" width="10.57421875" style="0" customWidth="1"/>
    <col min="14" max="14" width="12.57421875" style="0" customWidth="1"/>
    <col min="15" max="15" width="10.8515625" style="0" bestFit="1" customWidth="1"/>
    <col min="16" max="16" width="12.5742187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5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453</v>
      </c>
      <c r="O8" s="9"/>
    </row>
    <row r="9" spans="1:15" ht="1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13011</v>
      </c>
      <c r="D10" s="23">
        <v>10242</v>
      </c>
      <c r="E10" s="23">
        <f>SUM(C10:D10)</f>
        <v>23253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9479</v>
      </c>
      <c r="D12" s="23">
        <f>SUM(D13:D14)</f>
        <v>6082</v>
      </c>
      <c r="E12" s="23">
        <f>SUM(C12:D12)</f>
        <v>15561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9479</v>
      </c>
      <c r="D13" s="23">
        <v>6082</v>
      </c>
      <c r="E13" s="23">
        <f>SUM(C13:D13)</f>
        <v>15561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8837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22490</v>
      </c>
      <c r="D16" s="53">
        <f>D10+D12</f>
        <v>16324</v>
      </c>
      <c r="E16" s="53">
        <f>E10+E12+E15</f>
        <v>47651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8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7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7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" customHeight="1">
      <c r="A23" s="142"/>
      <c r="B23" s="171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8.5" customHeight="1">
      <c r="A24" s="72"/>
      <c r="B24" s="78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28.5" customHeight="1">
      <c r="A25" s="29" t="s">
        <v>1</v>
      </c>
      <c r="B25" s="26" t="s">
        <v>17</v>
      </c>
      <c r="C25" s="76">
        <v>19860</v>
      </c>
      <c r="D25" s="76">
        <f>+'РАЗХОДИ ПО КМЕТСТВА'!AF28</f>
        <v>22230.91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 aca="true" t="shared" si="0" ref="O25:O39">C25+E25+G25+K25+M25</f>
        <v>19860</v>
      </c>
      <c r="P25" s="86">
        <f aca="true" t="shared" si="1" ref="P25:P39">D25+F25+H25+L25+N25</f>
        <v>22230.91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t="shared" si="0"/>
        <v>0</v>
      </c>
      <c r="P26" s="86">
        <f t="shared" si="1"/>
        <v>0</v>
      </c>
    </row>
    <row r="27" spans="1:16" s="2" customFormat="1" ht="34.5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3817.0919999999996</v>
      </c>
      <c r="D31" s="30">
        <f>+'РАЗХОДИ ПО КМЕТСТВА'!AE28</f>
        <v>4272.7809019999995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3817.0919999999996</v>
      </c>
      <c r="P31" s="86">
        <f t="shared" si="1"/>
        <v>4272.7809019999995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6.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21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КМЕТСТВА'!G28+'РАЗХОДИ ПО КМЕТСТВА'!F28</f>
        <v>302.2</v>
      </c>
      <c r="G38" s="30"/>
      <c r="H38" s="30"/>
      <c r="I38" s="30"/>
      <c r="J38" s="30"/>
      <c r="K38" s="30"/>
      <c r="L38" s="30">
        <f>+'РАЗХОДИ ПО КМЕТСТВА'!R28</f>
        <v>45</v>
      </c>
      <c r="M38" s="30"/>
      <c r="N38" s="30"/>
      <c r="O38" s="33">
        <f t="shared" si="0"/>
        <v>200</v>
      </c>
      <c r="P38" s="86">
        <f t="shared" si="1"/>
        <v>347.2</v>
      </c>
    </row>
    <row r="39" spans="1:16" s="2" customFormat="1" ht="33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КМЕТСТВА'!C28+'РАЗХОДИ ПО КМЕТСТВА'!E28+'РАЗХОДИ ПО КМЕТСТВА'!D28</f>
        <v>2417.24</v>
      </c>
      <c r="G39" s="30">
        <v>3035</v>
      </c>
      <c r="H39" s="30">
        <f>+'РАЗХОДИ ПО КМЕТСТВА'!N28</f>
        <v>4287.88</v>
      </c>
      <c r="I39" s="30"/>
      <c r="J39" s="30"/>
      <c r="K39" s="30"/>
      <c r="L39" s="30"/>
      <c r="M39" s="30"/>
      <c r="N39" s="30"/>
      <c r="O39" s="33">
        <f t="shared" si="0"/>
        <v>4075</v>
      </c>
      <c r="P39" s="86">
        <f t="shared" si="1"/>
        <v>6705.12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КМЕТСТВА'!H28+'РАЗХОДИ ПО КМЕТСТВА'!I28+'РАЗХОДИ ПО КМЕТСТВА'!J28+'РАЗХОДИ ПО КМЕТСТВА'!K28</f>
        <v>888.46</v>
      </c>
      <c r="G40" s="30"/>
      <c r="H40" s="30"/>
      <c r="I40" s="30"/>
      <c r="J40" s="30">
        <f>+'РАЗХОДИ ПО КМЕТСТВА'!Y28+'РАЗХОДИ ПО КМЕТСТВА'!AD28</f>
        <v>3729.9400000000005</v>
      </c>
      <c r="K40" s="23"/>
      <c r="L40" s="96">
        <f>+'РАЗХОДИ ПО КМЕТСТВА'!Q28</f>
        <v>1608</v>
      </c>
      <c r="M40" s="30">
        <v>16512</v>
      </c>
      <c r="N40" s="30">
        <f>+'РАЗХОДИ ПО КМЕТСТВА'!V28+'РАЗХОДИ ПО КМЕТСТВА'!X28</f>
        <v>29563.01</v>
      </c>
      <c r="O40" s="33">
        <f>C40+E40+G40+K40+M40</f>
        <v>17032</v>
      </c>
      <c r="P40" s="86">
        <f>D40+F40+H40+L40+N40+J40</f>
        <v>35789.409999999996</v>
      </c>
    </row>
    <row r="41" spans="1:16" ht="15.75">
      <c r="A41" s="29" t="s">
        <v>31</v>
      </c>
      <c r="B41" s="26" t="s">
        <v>13</v>
      </c>
      <c r="C41" s="30"/>
      <c r="D41" s="30"/>
      <c r="E41" s="24">
        <v>3905</v>
      </c>
      <c r="F41" s="30"/>
      <c r="G41" s="24"/>
      <c r="H41" s="24"/>
      <c r="I41" s="24"/>
      <c r="J41" s="24"/>
      <c r="K41" s="23"/>
      <c r="L41" s="23"/>
      <c r="M41" s="23"/>
      <c r="N41" s="23"/>
      <c r="O41" s="33">
        <f>C41+E41+G41+K41+M41</f>
        <v>3905</v>
      </c>
      <c r="P41" s="86">
        <f>D41+F41+H41+L41+N41</f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480</v>
      </c>
      <c r="F42" s="30">
        <f>+'РАЗХОДИ ПО КМЕТСТВА'!M28</f>
        <v>426.5</v>
      </c>
      <c r="G42" s="30"/>
      <c r="H42" s="30"/>
      <c r="I42" s="30"/>
      <c r="J42" s="30"/>
      <c r="K42" s="23"/>
      <c r="L42" s="23"/>
      <c r="M42" s="23"/>
      <c r="N42" s="23"/>
      <c r="O42" s="33">
        <f>C42+E42+G42+K42+M42</f>
        <v>480</v>
      </c>
      <c r="P42" s="86">
        <f>D42+F42+H42+L42+N42</f>
        <v>426.5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>C43+E43+G43+K43+M43</f>
        <v>0</v>
      </c>
      <c r="P43" s="86">
        <f>D43+F43+H43+L43+N43</f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>C44+E44+G44+K44+M44</f>
        <v>0</v>
      </c>
      <c r="P44" s="86">
        <f>D44+F44+H44+L44+N44</f>
        <v>0</v>
      </c>
    </row>
    <row r="45" spans="1:16" ht="15.75">
      <c r="A45" s="36" t="s">
        <v>59</v>
      </c>
      <c r="B45" s="26"/>
      <c r="C45" s="54">
        <f aca="true" t="shared" si="2" ref="C45:O45">SUM(C25:C44)</f>
        <v>23677.092</v>
      </c>
      <c r="D45" s="54">
        <f t="shared" si="2"/>
        <v>26503.690902</v>
      </c>
      <c r="E45" s="54">
        <f t="shared" si="2"/>
        <v>6145</v>
      </c>
      <c r="F45" s="54">
        <f t="shared" si="2"/>
        <v>4034.3999999999996</v>
      </c>
      <c r="G45" s="54">
        <f t="shared" si="2"/>
        <v>3035</v>
      </c>
      <c r="H45" s="54">
        <f t="shared" si="2"/>
        <v>4287.88</v>
      </c>
      <c r="I45" s="54">
        <f t="shared" si="2"/>
        <v>0</v>
      </c>
      <c r="J45" s="54">
        <f t="shared" si="2"/>
        <v>3729.9400000000005</v>
      </c>
      <c r="K45" s="54">
        <f t="shared" si="2"/>
        <v>400</v>
      </c>
      <c r="L45" s="54">
        <f t="shared" si="2"/>
        <v>1653</v>
      </c>
      <c r="M45" s="54">
        <f t="shared" si="2"/>
        <v>16512</v>
      </c>
      <c r="N45" s="54">
        <f t="shared" si="2"/>
        <v>29563.01</v>
      </c>
      <c r="O45" s="38">
        <f t="shared" si="2"/>
        <v>49769.092000000004</v>
      </c>
      <c r="P45" s="38">
        <f>SUM(P25:P44)</f>
        <v>69771.920902</v>
      </c>
    </row>
    <row r="46" ht="4.5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КМЕТСТВА'!AH28-'Илия Блъсково'!P45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7.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3.7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52" right="0.17" top="0.66" bottom="0.28" header="0.31" footer="0.28"/>
  <pageSetup fitToWidth="0" fitToHeight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1">
      <selection activeCell="N40" sqref="N40"/>
    </sheetView>
  </sheetViews>
  <sheetFormatPr defaultColWidth="9.140625" defaultRowHeight="12.75"/>
  <cols>
    <col min="1" max="1" width="40.7109375" style="0" customWidth="1"/>
    <col min="2" max="2" width="13.7109375" style="3" customWidth="1"/>
    <col min="3" max="3" width="12.8515625" style="8" customWidth="1"/>
    <col min="4" max="4" width="13.00390625" style="8" customWidth="1"/>
    <col min="5" max="5" width="12.57421875" style="8" customWidth="1"/>
    <col min="6" max="6" width="14.00390625" style="8" customWidth="1"/>
    <col min="7" max="7" width="10.7109375" style="8" customWidth="1"/>
    <col min="8" max="10" width="12.8515625" style="8" customWidth="1"/>
    <col min="11" max="11" width="10.57421875" style="0" customWidth="1"/>
    <col min="12" max="12" width="13.140625" style="0" customWidth="1"/>
    <col min="13" max="13" width="10.8515625" style="0" customWidth="1"/>
    <col min="14" max="14" width="12.8515625" style="0" customWidth="1"/>
    <col min="15" max="15" width="10.8515625" style="0" bestFit="1" customWidth="1"/>
    <col min="16" max="16" width="12.8515625" style="0" customWidth="1"/>
    <col min="20" max="20" width="11.57421875" style="0" bestFit="1" customWidth="1"/>
  </cols>
  <sheetData>
    <row r="1" ht="34.5" customHeight="1">
      <c r="A1" s="56"/>
    </row>
    <row r="2" spans="1:15" ht="15.75">
      <c r="A2" s="139" t="s">
        <v>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9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7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98</v>
      </c>
      <c r="O8" s="9"/>
    </row>
    <row r="9" spans="1:15" ht="21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1</v>
      </c>
      <c r="O9" s="9"/>
    </row>
    <row r="10" spans="1:15" ht="15.75">
      <c r="A10" s="11" t="s">
        <v>46</v>
      </c>
      <c r="B10" s="4" t="s">
        <v>47</v>
      </c>
      <c r="C10" s="23">
        <v>1646</v>
      </c>
      <c r="D10" s="23">
        <v>2484</v>
      </c>
      <c r="E10" s="23">
        <f>SUM(C10:D10)</f>
        <v>4130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5778</v>
      </c>
      <c r="D12" s="23">
        <f>SUM(D13:D14)</f>
        <v>2962</v>
      </c>
      <c r="E12" s="23">
        <f>SUM(C12:D12)</f>
        <v>8740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5778</v>
      </c>
      <c r="D13" s="23">
        <v>2962</v>
      </c>
      <c r="E13" s="23">
        <f>SUM(C13:D13)</f>
        <v>8740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2937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7424</v>
      </c>
      <c r="D16" s="53">
        <f>D10+D12</f>
        <v>5446</v>
      </c>
      <c r="E16" s="53">
        <f>E10+E12+E15</f>
        <v>15807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8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3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4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8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26.25" customHeight="1">
      <c r="A25" s="29" t="s">
        <v>1</v>
      </c>
      <c r="B25" s="26" t="s">
        <v>17</v>
      </c>
      <c r="C25" s="30">
        <v>7064</v>
      </c>
      <c r="D25" s="30">
        <f>+'РАЗХОДИ ПО КМЕТСТВА'!AF8</f>
        <v>7715.71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3">
        <f>C25+E25+G25+K25+M25</f>
        <v>7064</v>
      </c>
      <c r="P25" s="86">
        <f>D25+F25+H25+L25+N25</f>
        <v>7715.71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23.25" customHeight="1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1357.7007999999998</v>
      </c>
      <c r="D31" s="30">
        <f>+'РАЗХОДИ ПО КМЕТСТВА'!AE8</f>
        <v>1482.9594619999998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1357.7007999999998</v>
      </c>
      <c r="P31" s="86">
        <f t="shared" si="1"/>
        <v>1482.9594619999998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23.2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21.75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КМЕТСТВА'!G8</f>
        <v>249.6</v>
      </c>
      <c r="G38" s="30"/>
      <c r="H38" s="30"/>
      <c r="I38" s="30"/>
      <c r="J38" s="30"/>
      <c r="K38" s="30"/>
      <c r="L38" s="30">
        <f>+'РАЗХОДИ ПО КМЕТСТВА'!R8</f>
        <v>18</v>
      </c>
      <c r="M38" s="30"/>
      <c r="N38" s="30"/>
      <c r="O38" s="33">
        <f t="shared" si="0"/>
        <v>200</v>
      </c>
      <c r="P38" s="86">
        <f t="shared" si="1"/>
        <v>267.6</v>
      </c>
    </row>
    <row r="39" spans="1:16" s="2" customFormat="1" ht="30.7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КМЕТСТВА'!C8+'РАЗХОДИ ПО КМЕТСТВА'!E8</f>
        <v>610.4</v>
      </c>
      <c r="G39" s="30">
        <v>1392</v>
      </c>
      <c r="H39" s="30">
        <f>+'РАЗХОДИ ПО КМЕТСТВА'!N8</f>
        <v>1400.12</v>
      </c>
      <c r="I39" s="30"/>
      <c r="J39" s="30"/>
      <c r="K39" s="30"/>
      <c r="L39" s="30"/>
      <c r="M39" s="30"/>
      <c r="N39" s="30"/>
      <c r="O39" s="33">
        <f t="shared" si="0"/>
        <v>2432</v>
      </c>
      <c r="P39" s="86">
        <f t="shared" si="1"/>
        <v>2010.52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КМЕТСТВА'!H8+'РАЗХОДИ ПО КМЕТСТВА'!I8+'РАЗХОДИ ПО КМЕТСТВА'!K8</f>
        <v>464.28</v>
      </c>
      <c r="G40" s="30"/>
      <c r="H40" s="30"/>
      <c r="I40" s="30"/>
      <c r="J40" s="30">
        <f>+'РАЗХОДИ ПО КМЕТСТВА'!Y8+'РАЗХОДИ ПО КМЕТСТВА'!AD8</f>
        <v>5100.08</v>
      </c>
      <c r="K40" s="23"/>
      <c r="L40" s="96">
        <f>+'РАЗХОДИ ПО КМЕТСТВА'!Q8</f>
        <v>919.8</v>
      </c>
      <c r="M40" s="30">
        <v>2465</v>
      </c>
      <c r="N40" s="30">
        <f>+'РАЗХОДИ ПО КМЕТСТВА'!V8</f>
        <v>3292.12</v>
      </c>
      <c r="O40" s="33">
        <f t="shared" si="0"/>
        <v>2985</v>
      </c>
      <c r="P40" s="86">
        <f>D40+F40+H40+L40+N40+J40</f>
        <v>9776.279999999999</v>
      </c>
    </row>
    <row r="41" spans="1:16" ht="15.75">
      <c r="A41" s="29" t="s">
        <v>31</v>
      </c>
      <c r="B41" s="26" t="s">
        <v>13</v>
      </c>
      <c r="C41" s="30"/>
      <c r="D41" s="30"/>
      <c r="E41" s="24">
        <v>845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845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390</v>
      </c>
      <c r="F42" s="30">
        <f>+'РАЗХОДИ ПО КМЕТСТВА'!M8</f>
        <v>310.17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390</v>
      </c>
      <c r="P42" s="86">
        <f t="shared" si="1"/>
        <v>310.17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8421.7008</v>
      </c>
      <c r="D45" s="54">
        <f t="shared" si="2"/>
        <v>9198.669462</v>
      </c>
      <c r="E45" s="54">
        <f t="shared" si="2"/>
        <v>2995</v>
      </c>
      <c r="F45" s="54">
        <f t="shared" si="2"/>
        <v>1634.45</v>
      </c>
      <c r="G45" s="54">
        <f t="shared" si="2"/>
        <v>1392</v>
      </c>
      <c r="H45" s="54">
        <f t="shared" si="2"/>
        <v>1400.12</v>
      </c>
      <c r="I45" s="54">
        <f t="shared" si="2"/>
        <v>0</v>
      </c>
      <c r="J45" s="54">
        <f t="shared" si="2"/>
        <v>5100.08</v>
      </c>
      <c r="K45" s="54">
        <f t="shared" si="2"/>
        <v>400</v>
      </c>
      <c r="L45" s="54">
        <f t="shared" si="2"/>
        <v>937.8</v>
      </c>
      <c r="M45" s="54">
        <f t="shared" si="2"/>
        <v>2465</v>
      </c>
      <c r="N45" s="54">
        <f t="shared" si="2"/>
        <v>3292.12</v>
      </c>
      <c r="O45" s="38">
        <f t="shared" si="2"/>
        <v>15673.7008</v>
      </c>
      <c r="P45" s="38">
        <f>SUM(P25:P44)</f>
        <v>21563.239461999998</v>
      </c>
    </row>
    <row r="46" ht="4.5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КМЕТСТВА'!AH8-Кладенец!P45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6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6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9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E23:F23"/>
    <mergeCell ref="C23:D23"/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K23:L23"/>
    <mergeCell ref="M23:N23"/>
    <mergeCell ref="G23:H23"/>
    <mergeCell ref="I22:J22"/>
    <mergeCell ref="I23:J23"/>
  </mergeCells>
  <printOptions/>
  <pageMargins left="0.5118110236220472" right="0.15748031496062992" top="0" bottom="0.2755905511811024" header="0.31496062992125984" footer="0.2755905511811024"/>
  <pageSetup fitToWidth="0" fitToHeight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5">
      <selection activeCell="D32" sqref="D32"/>
    </sheetView>
  </sheetViews>
  <sheetFormatPr defaultColWidth="9.140625" defaultRowHeight="12.75"/>
  <cols>
    <col min="1" max="1" width="38.57421875" style="0" customWidth="1"/>
    <col min="2" max="2" width="13.7109375" style="3" customWidth="1"/>
    <col min="3" max="3" width="11.8515625" style="8" customWidth="1"/>
    <col min="4" max="4" width="12.57421875" style="8" customWidth="1"/>
    <col min="5" max="5" width="11.7109375" style="8" customWidth="1"/>
    <col min="6" max="6" width="13.28125" style="8" customWidth="1"/>
    <col min="7" max="7" width="11.28125" style="8" customWidth="1"/>
    <col min="8" max="10" width="12.421875" style="8" customWidth="1"/>
    <col min="11" max="11" width="11.57421875" style="0" customWidth="1"/>
    <col min="12" max="12" width="13.28125" style="0" customWidth="1"/>
    <col min="13" max="13" width="10.8515625" style="0" customWidth="1"/>
    <col min="14" max="14" width="12.7109375" style="0" customWidth="1"/>
    <col min="15" max="15" width="10.8515625" style="0" bestFit="1" customWidth="1"/>
    <col min="16" max="16" width="13.421875" style="0" customWidth="1"/>
    <col min="20" max="20" width="11.57421875" style="0" bestFit="1" customWidth="1"/>
  </cols>
  <sheetData>
    <row r="1" ht="39.75" customHeight="1">
      <c r="A1" s="56"/>
    </row>
    <row r="2" spans="1:15" ht="15.75">
      <c r="A2" s="139" t="s">
        <v>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5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0.25" customHeight="1">
      <c r="A6" s="9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6.7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408</v>
      </c>
      <c r="O8" s="9"/>
    </row>
    <row r="9" spans="1:15" ht="18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13575</v>
      </c>
      <c r="D10" s="23">
        <v>20617</v>
      </c>
      <c r="E10" s="23">
        <f>SUM(C10:D10)</f>
        <v>34192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7365</v>
      </c>
      <c r="D12" s="23">
        <f>SUM(D13:D14)</f>
        <v>20470</v>
      </c>
      <c r="E12" s="23">
        <f>SUM(C12:D12)</f>
        <v>27835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7365</v>
      </c>
      <c r="D13" s="23">
        <v>20470</v>
      </c>
      <c r="E13" s="23">
        <f>SUM(C13:D13)</f>
        <v>27835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20940</v>
      </c>
      <c r="D16" s="53">
        <f>D10+D12</f>
        <v>41087</v>
      </c>
      <c r="E16" s="53">
        <f>E10+E12+E15</f>
        <v>62027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4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9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8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5.75" customHeight="1">
      <c r="A22" s="141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1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.75" customHeight="1">
      <c r="A24" s="71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30">
        <v>11305</v>
      </c>
      <c r="D25" s="30">
        <f>+'РАЗХОДИ ПО КМЕТСТВА'!AF9</f>
        <v>12452.33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3">
        <f>C25+E25+G25+K25+M25</f>
        <v>11305</v>
      </c>
      <c r="P25" s="86">
        <f>D25+F25+H25+L25+N25</f>
        <v>12452.33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2172.821</v>
      </c>
      <c r="D31" s="30">
        <f>+'РАЗХОДИ ПО КМЕТСТВА'!AE9</f>
        <v>2393.337826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2172.821</v>
      </c>
      <c r="P31" s="86">
        <f t="shared" si="1"/>
        <v>2393.337826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КМЕТСТВА'!G9+'РАЗХОДИ ПО КМЕТСТВА'!F9</f>
        <v>399.6</v>
      </c>
      <c r="G38" s="30"/>
      <c r="H38" s="30"/>
      <c r="I38" s="30"/>
      <c r="J38" s="30"/>
      <c r="K38" s="30"/>
      <c r="L38" s="30">
        <f>+'РАЗХОДИ ПО КМЕТСТВА'!R9</f>
        <v>45</v>
      </c>
      <c r="M38" s="30"/>
      <c r="N38" s="30"/>
      <c r="O38" s="33">
        <f>C38+E38+G38+K38+M38</f>
        <v>200</v>
      </c>
      <c r="P38" s="86">
        <f>D38+F38+H38+L38+N38</f>
        <v>444.6</v>
      </c>
    </row>
    <row r="39" spans="1:16" s="2" customFormat="1" ht="32.2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КМЕТСТВА'!C9</f>
        <v>1078.42</v>
      </c>
      <c r="G39" s="30">
        <v>4771</v>
      </c>
      <c r="H39" s="30">
        <f>+'РАЗХОДИ ПО КМЕТСТВА'!N9</f>
        <v>1973.79</v>
      </c>
      <c r="I39" s="30"/>
      <c r="J39" s="30"/>
      <c r="K39" s="30"/>
      <c r="L39" s="30"/>
      <c r="M39" s="30"/>
      <c r="N39" s="30"/>
      <c r="O39" s="33">
        <f>C39+E39+G39+K39+M39</f>
        <v>5811</v>
      </c>
      <c r="P39" s="86">
        <f>D39+F39+H39+L39+N39</f>
        <v>3052.21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КМЕТСТВА'!H9+'РАЗХОДИ ПО КМЕТСТВА'!J9+'РАЗХОДИ ПО КМЕТСТВА'!L9</f>
        <v>502.5</v>
      </c>
      <c r="G40" s="30"/>
      <c r="H40" s="30"/>
      <c r="I40" s="30"/>
      <c r="J40" s="30">
        <f>+'РАЗХОДИ ПО КМЕТСТВА'!Y9</f>
        <v>929.92</v>
      </c>
      <c r="K40" s="23"/>
      <c r="L40" s="23">
        <f>+'РАЗХОДИ ПО КМЕТСТВА'!Q9</f>
        <v>750</v>
      </c>
      <c r="M40" s="30">
        <v>4930</v>
      </c>
      <c r="N40" s="30">
        <f>+'РАЗХОДИ ПО КМЕТСТВА'!V9</f>
        <v>9147.65</v>
      </c>
      <c r="O40" s="33">
        <f>C40+E40+G40+K40+M40</f>
        <v>5450</v>
      </c>
      <c r="P40" s="86">
        <f>D40+F40+H40+L40+N40+J40</f>
        <v>11330.07</v>
      </c>
    </row>
    <row r="41" spans="1:16" ht="15.75">
      <c r="A41" s="29" t="s">
        <v>31</v>
      </c>
      <c r="B41" s="26" t="s">
        <v>13</v>
      </c>
      <c r="C41" s="30"/>
      <c r="D41" s="30"/>
      <c r="E41" s="24">
        <v>3517</v>
      </c>
      <c r="F41" s="30"/>
      <c r="G41" s="24"/>
      <c r="H41" s="24"/>
      <c r="I41" s="24"/>
      <c r="J41" s="24"/>
      <c r="K41" s="23"/>
      <c r="L41" s="23"/>
      <c r="M41" s="23"/>
      <c r="N41" s="23"/>
      <c r="O41" s="33">
        <f t="shared" si="0"/>
        <v>3517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300</v>
      </c>
      <c r="F42" s="30">
        <f>+'РАЗХОДИ ПО КМЕТСТВА'!M9</f>
        <v>333.58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300</v>
      </c>
      <c r="P42" s="86">
        <f t="shared" si="1"/>
        <v>333.58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13477.821</v>
      </c>
      <c r="D45" s="54">
        <f t="shared" si="2"/>
        <v>14845.667826</v>
      </c>
      <c r="E45" s="54">
        <f t="shared" si="2"/>
        <v>5577</v>
      </c>
      <c r="F45" s="54">
        <f t="shared" si="2"/>
        <v>2314.1</v>
      </c>
      <c r="G45" s="54">
        <f t="shared" si="2"/>
        <v>4771</v>
      </c>
      <c r="H45" s="54">
        <f t="shared" si="2"/>
        <v>1973.79</v>
      </c>
      <c r="I45" s="54">
        <f t="shared" si="2"/>
        <v>0</v>
      </c>
      <c r="J45" s="54">
        <f t="shared" si="2"/>
        <v>929.92</v>
      </c>
      <c r="K45" s="54">
        <f t="shared" si="2"/>
        <v>400</v>
      </c>
      <c r="L45" s="54">
        <f t="shared" si="2"/>
        <v>795</v>
      </c>
      <c r="M45" s="54">
        <f t="shared" si="2"/>
        <v>4930</v>
      </c>
      <c r="N45" s="54">
        <f t="shared" si="2"/>
        <v>9147.65</v>
      </c>
      <c r="O45" s="38">
        <f t="shared" si="2"/>
        <v>29155.821</v>
      </c>
      <c r="P45" s="38">
        <f>SUM(P25:P44)</f>
        <v>30006.127826000004</v>
      </c>
    </row>
    <row r="46" ht="3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108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КМЕТСТВА'!AH9-Коньовец!P45</f>
        <v>0</v>
      </c>
    </row>
    <row r="49" spans="1:14" ht="21.75" customHeight="1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6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2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8.25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28">
      <selection activeCell="D32" sqref="D32"/>
    </sheetView>
  </sheetViews>
  <sheetFormatPr defaultColWidth="9.140625" defaultRowHeight="12.75"/>
  <cols>
    <col min="1" max="1" width="37.57421875" style="0" customWidth="1"/>
    <col min="2" max="2" width="12.8515625" style="3" customWidth="1"/>
    <col min="3" max="3" width="11.00390625" style="8" customWidth="1"/>
    <col min="4" max="4" width="12.57421875" style="8" customWidth="1"/>
    <col min="5" max="5" width="11.140625" style="8" customWidth="1"/>
    <col min="6" max="6" width="12.57421875" style="8" customWidth="1"/>
    <col min="7" max="7" width="11.00390625" style="8" customWidth="1"/>
    <col min="8" max="10" width="13.00390625" style="8" customWidth="1"/>
    <col min="11" max="11" width="11.00390625" style="0" customWidth="1"/>
    <col min="12" max="12" width="12.7109375" style="0" customWidth="1"/>
    <col min="13" max="13" width="11.7109375" style="0" customWidth="1"/>
    <col min="14" max="14" width="12.57421875" style="0" customWidth="1"/>
    <col min="15" max="15" width="11.00390625" style="0" customWidth="1"/>
    <col min="16" max="16" width="13.421875" style="0" customWidth="1"/>
    <col min="20" max="20" width="11.57421875" style="0" bestFit="1" customWidth="1"/>
  </cols>
  <sheetData>
    <row r="1" ht="43.5" customHeight="1">
      <c r="A1" s="56"/>
    </row>
    <row r="2" spans="1:15" ht="15.75">
      <c r="A2" s="139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7.2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5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48</v>
      </c>
      <c r="O8" s="9"/>
    </row>
    <row r="9" spans="1:15" ht="17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0.5</v>
      </c>
      <c r="O9" s="9"/>
    </row>
    <row r="10" spans="1:15" ht="15.75">
      <c r="A10" s="11" t="s">
        <v>46</v>
      </c>
      <c r="B10" s="4" t="s">
        <v>47</v>
      </c>
      <c r="C10" s="23">
        <v>1182</v>
      </c>
      <c r="D10" s="23">
        <v>835</v>
      </c>
      <c r="E10" s="23">
        <f>SUM(C10:D10)</f>
        <v>2017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6715</v>
      </c>
      <c r="D12" s="23">
        <f>SUM(D13:D14)</f>
        <v>2638</v>
      </c>
      <c r="E12" s="23">
        <f>SUM(C12:D12)</f>
        <v>9353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6715</v>
      </c>
      <c r="D13" s="23">
        <v>2638</v>
      </c>
      <c r="E13" s="23">
        <f>SUM(C13:D13)</f>
        <v>9353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2616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7897</v>
      </c>
      <c r="D16" s="53">
        <f>D10+D12</f>
        <v>3473</v>
      </c>
      <c r="E16" s="53">
        <f>E10+E12+E15</f>
        <v>13986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3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4092</v>
      </c>
      <c r="D25" s="76">
        <f>+'РАЗХОДИ ПО КМЕТСТВА'!AF12</f>
        <v>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4092</v>
      </c>
      <c r="P25" s="86">
        <f>D25+F25+H25+L25+N25</f>
        <v>0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786.4823999999999</v>
      </c>
      <c r="D31" s="30">
        <f>+'РАЗХОДИ ПО КМЕТСТВА'!AE12</f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786.4823999999999</v>
      </c>
      <c r="P31" s="86">
        <f t="shared" si="1"/>
        <v>0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КМЕТСТВА'!F12+'РАЗХОДИ ПО КМЕТСТВА'!G12</f>
        <v>0</v>
      </c>
      <c r="G38" s="30"/>
      <c r="H38" s="30"/>
      <c r="I38" s="30"/>
      <c r="J38" s="30"/>
      <c r="K38" s="30"/>
      <c r="L38" s="30"/>
      <c r="M38" s="30"/>
      <c r="N38" s="30"/>
      <c r="O38" s="33">
        <f t="shared" si="0"/>
        <v>200</v>
      </c>
      <c r="P38" s="86">
        <f t="shared" si="1"/>
        <v>0</v>
      </c>
    </row>
    <row r="39" spans="1:16" s="2" customFormat="1" ht="33.7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КМЕТСТВА'!C12</f>
        <v>5.74</v>
      </c>
      <c r="G39" s="30">
        <v>1366</v>
      </c>
      <c r="H39" s="30">
        <f>+'РАЗХОДИ ПО КМЕТСТВА'!N12</f>
        <v>660.12</v>
      </c>
      <c r="I39" s="30"/>
      <c r="J39" s="30"/>
      <c r="K39" s="30"/>
      <c r="L39" s="30"/>
      <c r="M39" s="30"/>
      <c r="N39" s="30"/>
      <c r="O39" s="33">
        <f t="shared" si="0"/>
        <v>2406</v>
      </c>
      <c r="P39" s="86">
        <f>D39+F39+H39+L39+N39+J39</f>
        <v>665.86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/>
      <c r="G40" s="30"/>
      <c r="H40" s="30"/>
      <c r="I40" s="30"/>
      <c r="J40" s="30">
        <f>+'РАЗХОДИ ПО КМЕТСТВА'!Y12</f>
        <v>208.73</v>
      </c>
      <c r="K40" s="23"/>
      <c r="L40" s="23">
        <f>+'РАЗХОДИ ПО КМЕТСТВА'!Q12</f>
        <v>633.3</v>
      </c>
      <c r="M40" s="30">
        <v>1835</v>
      </c>
      <c r="N40" s="30">
        <f>+'РАЗХОДИ ПО КМЕТСТВА'!V12</f>
        <v>2331.55</v>
      </c>
      <c r="O40" s="33">
        <f t="shared" si="0"/>
        <v>2355</v>
      </c>
      <c r="P40" s="86">
        <f>D40+F40+H40+L40+N40+J40</f>
        <v>3173.5800000000004</v>
      </c>
    </row>
    <row r="41" spans="1:16" ht="15.75">
      <c r="A41" s="29" t="s">
        <v>31</v>
      </c>
      <c r="B41" s="26" t="s">
        <v>13</v>
      </c>
      <c r="C41" s="30"/>
      <c r="D41" s="30"/>
      <c r="E41" s="24">
        <v>414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414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106</v>
      </c>
      <c r="F42" s="30"/>
      <c r="G42" s="30"/>
      <c r="H42" s="30"/>
      <c r="I42" s="30"/>
      <c r="J42" s="30"/>
      <c r="K42" s="23"/>
      <c r="L42" s="23"/>
      <c r="M42" s="23"/>
      <c r="N42" s="23"/>
      <c r="O42" s="33">
        <f t="shared" si="0"/>
        <v>106</v>
      </c>
      <c r="P42" s="86">
        <f t="shared" si="1"/>
        <v>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P45">SUM(C25:C44)</f>
        <v>4878.4824</v>
      </c>
      <c r="D45" s="54">
        <f t="shared" si="2"/>
        <v>0</v>
      </c>
      <c r="E45" s="54">
        <f t="shared" si="2"/>
        <v>2280</v>
      </c>
      <c r="F45" s="54">
        <f t="shared" si="2"/>
        <v>5.74</v>
      </c>
      <c r="G45" s="54">
        <f t="shared" si="2"/>
        <v>1366</v>
      </c>
      <c r="H45" s="54">
        <f t="shared" si="2"/>
        <v>660.12</v>
      </c>
      <c r="I45" s="54">
        <f t="shared" si="2"/>
        <v>0</v>
      </c>
      <c r="J45" s="54">
        <f t="shared" si="2"/>
        <v>208.73</v>
      </c>
      <c r="K45" s="54">
        <f t="shared" si="2"/>
        <v>400</v>
      </c>
      <c r="L45" s="54">
        <f t="shared" si="2"/>
        <v>633.3</v>
      </c>
      <c r="M45" s="54">
        <f t="shared" si="2"/>
        <v>1835</v>
      </c>
      <c r="N45" s="54">
        <f t="shared" si="2"/>
        <v>2331.55</v>
      </c>
      <c r="O45" s="38">
        <f t="shared" si="2"/>
        <v>10759.4824</v>
      </c>
      <c r="P45" s="38">
        <f t="shared" si="2"/>
        <v>3839.4400000000005</v>
      </c>
    </row>
    <row r="47" spans="1:16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  <c r="P47" s="92">
        <f>'РАЗХОДИ ПО КМЕТСТВА'!AH12-'Костена река'!P45</f>
        <v>0</v>
      </c>
    </row>
    <row r="48" spans="1:15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15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15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 customHeight="1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C23:D23"/>
    <mergeCell ref="E23:F23"/>
    <mergeCell ref="A2:O2"/>
    <mergeCell ref="A3:O3"/>
    <mergeCell ref="A21:O21"/>
    <mergeCell ref="A22:A23"/>
    <mergeCell ref="B22:B23"/>
    <mergeCell ref="C22:F22"/>
    <mergeCell ref="G22:H22"/>
    <mergeCell ref="G23:H23"/>
    <mergeCell ref="O22:P23"/>
    <mergeCell ref="K22:L22"/>
    <mergeCell ref="H8:M8"/>
    <mergeCell ref="H9:M9"/>
    <mergeCell ref="M22:N22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1">
      <selection activeCell="D32" sqref="D32"/>
    </sheetView>
  </sheetViews>
  <sheetFormatPr defaultColWidth="9.140625" defaultRowHeight="12.75"/>
  <cols>
    <col min="1" max="1" width="40.28125" style="0" customWidth="1"/>
    <col min="2" max="2" width="13.7109375" style="3" customWidth="1"/>
    <col min="3" max="3" width="10.57421875" style="8" customWidth="1"/>
    <col min="4" max="4" width="13.8515625" style="8" customWidth="1"/>
    <col min="5" max="5" width="11.7109375" style="8" customWidth="1"/>
    <col min="6" max="6" width="12.7109375" style="8" customWidth="1"/>
    <col min="7" max="7" width="10.8515625" style="8" customWidth="1"/>
    <col min="8" max="10" width="13.28125" style="8" customWidth="1"/>
    <col min="11" max="11" width="9.28125" style="0" customWidth="1"/>
    <col min="12" max="12" width="13.421875" style="0" customWidth="1"/>
    <col min="13" max="13" width="10.8515625" style="0" customWidth="1"/>
    <col min="14" max="14" width="12.7109375" style="0" customWidth="1"/>
    <col min="15" max="15" width="10.8515625" style="0" bestFit="1" customWidth="1"/>
    <col min="16" max="16" width="12.8515625" style="0" customWidth="1"/>
    <col min="20" max="20" width="11.57421875" style="0" bestFit="1" customWidth="1"/>
  </cols>
  <sheetData>
    <row r="1" ht="42.75" customHeight="1">
      <c r="A1" s="56"/>
    </row>
    <row r="2" spans="1:15" ht="15.75">
      <c r="A2" s="139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0.25" customHeight="1">
      <c r="A6" s="9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5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366</v>
      </c>
      <c r="O8" s="9"/>
    </row>
    <row r="9" spans="1:15" ht="21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7716</v>
      </c>
      <c r="D10" s="23">
        <v>8901</v>
      </c>
      <c r="E10" s="23">
        <f>SUM(C10:D10)</f>
        <v>16617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8213</v>
      </c>
      <c r="D12" s="23">
        <f>SUM(D13:D14)</f>
        <v>10067</v>
      </c>
      <c r="E12" s="23">
        <f>SUM(C12:D12)</f>
        <v>18280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8213</v>
      </c>
      <c r="D13" s="23">
        <v>10067</v>
      </c>
      <c r="E13" s="23">
        <f>SUM(C13:D13)</f>
        <v>18280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4058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15929</v>
      </c>
      <c r="D16" s="53">
        <f>D10+D12</f>
        <v>18968</v>
      </c>
      <c r="E16" s="53">
        <f>E10+E12+E15</f>
        <v>38955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5.2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7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3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12036</v>
      </c>
      <c r="D25" s="76">
        <f>+'РАЗХОДИ ПО КМЕТСТВА'!AF10</f>
        <v>13555.12</v>
      </c>
      <c r="E25" s="76"/>
      <c r="F25" s="76"/>
      <c r="G25" s="30"/>
      <c r="H25" s="76"/>
      <c r="I25" s="76"/>
      <c r="J25" s="76"/>
      <c r="K25" s="30"/>
      <c r="L25" s="76"/>
      <c r="M25" s="30"/>
      <c r="N25" s="76"/>
      <c r="O25" s="33">
        <f>C25+E25+G25+K25+M25</f>
        <v>12036</v>
      </c>
      <c r="P25" s="86">
        <f>D25+F25+H25+L25+N25</f>
        <v>13555.12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2313.3192</v>
      </c>
      <c r="D31" s="30">
        <f>+'РАЗХОДИ ПО КМЕТСТВА'!AE10</f>
        <v>2605.2940639999997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2313.3192</v>
      </c>
      <c r="P31" s="86">
        <f t="shared" si="1"/>
        <v>2605.2940639999997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КМЕТСТВА'!F10+'РАЗХОДИ ПО КМЕТСТВА'!G10</f>
        <v>481.49</v>
      </c>
      <c r="G38" s="30"/>
      <c r="H38" s="30"/>
      <c r="I38" s="30"/>
      <c r="J38" s="30"/>
      <c r="K38" s="30"/>
      <c r="L38" s="30">
        <f>+'РАЗХОДИ ПО КМЕТСТВА'!R10</f>
        <v>18</v>
      </c>
      <c r="M38" s="30"/>
      <c r="N38" s="30"/>
      <c r="O38" s="33">
        <f t="shared" si="0"/>
        <v>200</v>
      </c>
      <c r="P38" s="86">
        <f t="shared" si="1"/>
        <v>499.49</v>
      </c>
    </row>
    <row r="39" spans="1:16" s="2" customFormat="1" ht="30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КМЕТСТВА'!C10+'РАЗХОДИ ПО КМЕТСТВА'!D10+'РАЗХОДИ ПО КМЕТСТВА'!E10</f>
        <v>1114.25</v>
      </c>
      <c r="G39" s="30">
        <v>5000</v>
      </c>
      <c r="H39" s="30">
        <f>+'РАЗХОДИ ПО КМЕТСТВА'!N10</f>
        <v>3708.36</v>
      </c>
      <c r="I39" s="30"/>
      <c r="J39" s="30"/>
      <c r="K39" s="30"/>
      <c r="L39" s="30"/>
      <c r="M39" s="30"/>
      <c r="N39" s="30"/>
      <c r="O39" s="33">
        <f t="shared" si="0"/>
        <v>6040</v>
      </c>
      <c r="P39" s="86">
        <f t="shared" si="1"/>
        <v>4822.610000000001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КМЕТСТВА'!H10+'РАЗХОДИ ПО КМЕТСТВА'!I10+'РАЗХОДИ ПО КМЕТСТВА'!J10+'РАЗХОДИ ПО КМЕТСТВА'!K10</f>
        <v>616.99</v>
      </c>
      <c r="G40" s="30"/>
      <c r="H40" s="30"/>
      <c r="I40" s="30"/>
      <c r="J40" s="30">
        <f>+'РАЗХОДИ ПО КМЕТСТВА'!Y10</f>
        <v>1092.52</v>
      </c>
      <c r="K40" s="23"/>
      <c r="L40" s="96">
        <f>+'РАЗХОДИ ПО КМЕТСТВА'!Q10</f>
        <v>663</v>
      </c>
      <c r="M40" s="30">
        <v>14700</v>
      </c>
      <c r="N40" s="30">
        <f>+'РАЗХОДИ ПО КМЕТСТВА'!V10</f>
        <v>18428.370000000003</v>
      </c>
      <c r="O40" s="33">
        <f t="shared" si="0"/>
        <v>15220</v>
      </c>
      <c r="P40" s="86">
        <f>D40+F40+H40+L40+N40+J40</f>
        <v>20800.880000000005</v>
      </c>
    </row>
    <row r="41" spans="1:16" ht="15.75">
      <c r="A41" s="29" t="s">
        <v>31</v>
      </c>
      <c r="B41" s="26" t="s">
        <v>13</v>
      </c>
      <c r="C41" s="30"/>
      <c r="D41" s="30"/>
      <c r="E41" s="24">
        <v>3155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3155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440</v>
      </c>
      <c r="F42" s="30">
        <f>+'РАЗХОДИ ПО КМЕТСТВА'!M10</f>
        <v>369.93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440</v>
      </c>
      <c r="P42" s="86">
        <f t="shared" si="1"/>
        <v>369.93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14349.3192</v>
      </c>
      <c r="D45" s="54">
        <f t="shared" si="2"/>
        <v>16160.414064</v>
      </c>
      <c r="E45" s="54">
        <f t="shared" si="2"/>
        <v>5355</v>
      </c>
      <c r="F45" s="54">
        <f t="shared" si="2"/>
        <v>2582.66</v>
      </c>
      <c r="G45" s="54">
        <f t="shared" si="2"/>
        <v>5000</v>
      </c>
      <c r="H45" s="54">
        <f t="shared" si="2"/>
        <v>3708.36</v>
      </c>
      <c r="I45" s="54">
        <f t="shared" si="2"/>
        <v>0</v>
      </c>
      <c r="J45" s="54">
        <f t="shared" si="2"/>
        <v>1092.52</v>
      </c>
      <c r="K45" s="54">
        <f t="shared" si="2"/>
        <v>400</v>
      </c>
      <c r="L45" s="54">
        <f t="shared" si="2"/>
        <v>681</v>
      </c>
      <c r="M45" s="54">
        <f t="shared" si="2"/>
        <v>14700</v>
      </c>
      <c r="N45" s="54">
        <f t="shared" si="2"/>
        <v>18428.370000000003</v>
      </c>
      <c r="O45" s="38">
        <f t="shared" si="2"/>
        <v>39804.3192</v>
      </c>
      <c r="P45" s="38">
        <f>SUM(P25:P44)</f>
        <v>42653.32406400001</v>
      </c>
    </row>
    <row r="46" ht="6.75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КМЕТСТВА'!AH10-Лозево!P45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11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G22:H22"/>
    <mergeCell ref="K22:L22"/>
    <mergeCell ref="M22:N22"/>
    <mergeCell ref="O22:P23"/>
    <mergeCell ref="C22:F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0">
      <selection activeCell="D32" sqref="D32"/>
    </sheetView>
  </sheetViews>
  <sheetFormatPr defaultColWidth="9.140625" defaultRowHeight="12.75"/>
  <cols>
    <col min="1" max="1" width="39.00390625" style="0" customWidth="1"/>
    <col min="2" max="2" width="13.7109375" style="3" customWidth="1"/>
    <col min="3" max="3" width="10.7109375" style="8" customWidth="1"/>
    <col min="4" max="4" width="12.7109375" style="8" customWidth="1"/>
    <col min="5" max="5" width="12.140625" style="8" customWidth="1"/>
    <col min="6" max="6" width="12.421875" style="8" customWidth="1"/>
    <col min="7" max="7" width="10.140625" style="8" customWidth="1"/>
    <col min="8" max="10" width="12.57421875" style="8" customWidth="1"/>
    <col min="11" max="11" width="10.421875" style="0" customWidth="1"/>
    <col min="12" max="12" width="13.28125" style="0" customWidth="1"/>
    <col min="13" max="13" width="11.28125" style="0" customWidth="1"/>
    <col min="14" max="14" width="13.00390625" style="0" customWidth="1"/>
    <col min="15" max="15" width="10.8515625" style="0" bestFit="1" customWidth="1"/>
    <col min="16" max="16" width="12.57421875" style="0" customWidth="1"/>
    <col min="20" max="20" width="11.57421875" style="0" bestFit="1" customWidth="1"/>
  </cols>
  <sheetData>
    <row r="1" ht="39.75" customHeight="1">
      <c r="A1" s="56"/>
    </row>
    <row r="2" spans="1:15" ht="15.75">
      <c r="A2" s="139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9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9.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1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1110</v>
      </c>
      <c r="O8" s="9"/>
    </row>
    <row r="9" spans="1:15" ht="21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34669</v>
      </c>
      <c r="D10" s="23">
        <v>28883</v>
      </c>
      <c r="E10" s="23">
        <f>SUM(C10:D10)</f>
        <v>63552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43583</v>
      </c>
      <c r="D12" s="23">
        <f>SUM(D13:D14)</f>
        <v>35089</v>
      </c>
      <c r="E12" s="23">
        <f>SUM(C12:D12)</f>
        <v>78672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43583</v>
      </c>
      <c r="D13" s="23">
        <v>35089</v>
      </c>
      <c r="E13" s="23">
        <f>SUM(C13:D13)</f>
        <v>78672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40480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78252</v>
      </c>
      <c r="D16" s="53">
        <f>D10+D12</f>
        <v>63972</v>
      </c>
      <c r="E16" s="53">
        <f>E10+E12+E15</f>
        <v>182704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5.2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3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9.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17040</v>
      </c>
      <c r="D25" s="76">
        <f>+'РАЗХОДИ ПО КМЕТСТВА'!AF30</f>
        <v>17656.28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17040</v>
      </c>
      <c r="P25" s="86">
        <f>D25+F25+H25+L25+N25</f>
        <v>17656.28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3275.0879999999997</v>
      </c>
      <c r="D31" s="30">
        <f>+'РАЗХОДИ ПО КМЕТСТВА'!AE30</f>
        <v>3393.5370159999993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3275.0879999999997</v>
      </c>
      <c r="P31" s="86">
        <f t="shared" si="1"/>
        <v>3393.5370159999993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КМЕТСТВА'!F30+'РАЗХОДИ ПО КМЕТСТВА'!G30</f>
        <v>249.6</v>
      </c>
      <c r="G38" s="30"/>
      <c r="H38" s="30"/>
      <c r="I38" s="30"/>
      <c r="J38" s="30"/>
      <c r="K38" s="30"/>
      <c r="L38" s="30">
        <f>+'РАЗХОДИ ПО КМЕТСТВА'!R30</f>
        <v>45</v>
      </c>
      <c r="M38" s="30"/>
      <c r="N38" s="30"/>
      <c r="O38" s="33">
        <f t="shared" si="0"/>
        <v>200</v>
      </c>
      <c r="P38" s="86">
        <f t="shared" si="1"/>
        <v>294.6</v>
      </c>
    </row>
    <row r="39" spans="1:16" s="2" customFormat="1" ht="31.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КМЕТСТВА'!C30+'РАЗХОДИ ПО КМЕТСТВА'!D30+'РАЗХОДИ ПО КМЕТСТВА'!E30</f>
        <v>2538.8</v>
      </c>
      <c r="G39" s="30">
        <v>7180</v>
      </c>
      <c r="H39" s="30">
        <f>+'РАЗХОДИ ПО КМЕТСТВА'!N30</f>
        <v>6469.49</v>
      </c>
      <c r="I39" s="30"/>
      <c r="J39" s="30"/>
      <c r="K39" s="30"/>
      <c r="L39" s="30"/>
      <c r="M39" s="30"/>
      <c r="N39" s="30"/>
      <c r="O39" s="33">
        <f t="shared" si="0"/>
        <v>8220</v>
      </c>
      <c r="P39" s="86">
        <f>D39+F39+H39+L39+N39+J39</f>
        <v>9008.29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КМЕТСТВА'!H30+'РАЗХОДИ ПО КМЕТСТВА'!I30+'РАЗХОДИ ПО КМЕТСТВА'!J30+'РАЗХОДИ ПО КМЕТСТВА'!K30</f>
        <v>678.96</v>
      </c>
      <c r="G40" s="30"/>
      <c r="H40" s="30"/>
      <c r="I40" s="30"/>
      <c r="J40" s="30">
        <f>+'РАЗХОДИ ПО КМЕТСТВА'!Y30</f>
        <v>1072.98</v>
      </c>
      <c r="K40" s="23"/>
      <c r="L40" s="96">
        <f>+'РАЗХОДИ ПО КМЕТСТВА'!Q30</f>
        <v>1105.8</v>
      </c>
      <c r="M40" s="30">
        <v>39966</v>
      </c>
      <c r="N40" s="30">
        <f>+'РАЗХОДИ ПО КМЕТСТВА'!V30+'РАЗХОДИ ПО КМЕТСТВА'!X30</f>
        <v>54305.98</v>
      </c>
      <c r="O40" s="33">
        <f>C40+E40+G40+K40+M40</f>
        <v>40486</v>
      </c>
      <c r="P40" s="86">
        <f>D40+F40+H40+L40+N40+J40</f>
        <v>57163.72000000001</v>
      </c>
    </row>
    <row r="41" spans="1:16" ht="15.75">
      <c r="A41" s="29" t="s">
        <v>31</v>
      </c>
      <c r="B41" s="26" t="s">
        <v>13</v>
      </c>
      <c r="C41" s="30"/>
      <c r="D41" s="30"/>
      <c r="E41" s="24">
        <v>9568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9568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400</v>
      </c>
      <c r="F42" s="30">
        <f>+'РАЗХОДИ ПО КМЕТСТВА'!M30</f>
        <v>200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400</v>
      </c>
      <c r="P42" s="86">
        <f t="shared" si="1"/>
        <v>200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20315.088</v>
      </c>
      <c r="D45" s="54">
        <f t="shared" si="2"/>
        <v>21049.817015999997</v>
      </c>
      <c r="E45" s="54">
        <f t="shared" si="2"/>
        <v>11728</v>
      </c>
      <c r="F45" s="54">
        <f t="shared" si="2"/>
        <v>3667.36</v>
      </c>
      <c r="G45" s="54">
        <f t="shared" si="2"/>
        <v>7180</v>
      </c>
      <c r="H45" s="54">
        <f t="shared" si="2"/>
        <v>6469.49</v>
      </c>
      <c r="I45" s="54">
        <f t="shared" si="2"/>
        <v>0</v>
      </c>
      <c r="J45" s="54">
        <f t="shared" si="2"/>
        <v>1072.98</v>
      </c>
      <c r="K45" s="54">
        <f t="shared" si="2"/>
        <v>400</v>
      </c>
      <c r="L45" s="54">
        <f t="shared" si="2"/>
        <v>1150.8</v>
      </c>
      <c r="M45" s="54">
        <f t="shared" si="2"/>
        <v>39966</v>
      </c>
      <c r="N45" s="54">
        <f t="shared" si="2"/>
        <v>54305.98</v>
      </c>
      <c r="O45" s="38">
        <f t="shared" si="2"/>
        <v>79589.088</v>
      </c>
      <c r="P45" s="38">
        <f>SUM(P25:P44)</f>
        <v>87716.427016</v>
      </c>
    </row>
    <row r="46" ht="6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108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КМЕТСТВА'!AH30-Мадара!P45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7.2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8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6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35">
      <selection activeCell="D32" sqref="D32"/>
    </sheetView>
  </sheetViews>
  <sheetFormatPr defaultColWidth="9.140625" defaultRowHeight="12.75"/>
  <cols>
    <col min="1" max="1" width="38.421875" style="0" customWidth="1"/>
    <col min="2" max="2" width="13.7109375" style="3" customWidth="1"/>
    <col min="3" max="3" width="11.00390625" style="8" customWidth="1"/>
    <col min="4" max="4" width="12.57421875" style="8" customWidth="1"/>
    <col min="5" max="5" width="11.28125" style="8" customWidth="1"/>
    <col min="6" max="6" width="13.28125" style="8" customWidth="1"/>
    <col min="7" max="7" width="11.00390625" style="8" customWidth="1"/>
    <col min="8" max="10" width="14.8515625" style="8" customWidth="1"/>
    <col min="11" max="11" width="10.421875" style="0" customWidth="1"/>
    <col min="12" max="12" width="13.00390625" style="0" customWidth="1"/>
    <col min="13" max="13" width="11.00390625" style="0" customWidth="1"/>
    <col min="14" max="14" width="13.0039062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39.75" customHeight="1">
      <c r="A1" s="56"/>
    </row>
    <row r="2" spans="1:15" ht="15.75">
      <c r="A2" s="139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6.5" customHeight="1">
      <c r="A6" s="9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5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510</v>
      </c>
      <c r="O8" s="9"/>
    </row>
    <row r="9" spans="1:15" ht="25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21040</v>
      </c>
      <c r="D10" s="23">
        <v>17834</v>
      </c>
      <c r="E10" s="23">
        <f>SUM(C10:D10)</f>
        <v>38874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17150</v>
      </c>
      <c r="D12" s="23">
        <f>SUM(D13:D14)</f>
        <v>16246</v>
      </c>
      <c r="E12" s="23">
        <f>SUM(C12:D12)</f>
        <v>33396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17150</v>
      </c>
      <c r="D13" s="23">
        <v>16246</v>
      </c>
      <c r="E13" s="23">
        <f>SUM(C13:D13)</f>
        <v>33396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16174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38190</v>
      </c>
      <c r="D16" s="53">
        <f>D10+D12</f>
        <v>34080</v>
      </c>
      <c r="E16" s="53">
        <f>E10+E12+E15</f>
        <v>88444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4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 customHeight="1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2.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17556</v>
      </c>
      <c r="D25" s="76">
        <f>+'РАЗХОДИ ПО КМЕТСТВА'!AF31</f>
        <v>19615.8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17556</v>
      </c>
      <c r="P25" s="86">
        <f>D25+F25+H25+L25+N25</f>
        <v>19615.8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>
        <f>+'РАЗХОДИ ПО КМЕТСТВА'!S31</f>
        <v>150</v>
      </c>
      <c r="M27" s="30"/>
      <c r="N27" s="30"/>
      <c r="O27" s="33">
        <f t="shared" si="0"/>
        <v>400</v>
      </c>
      <c r="P27" s="86">
        <f t="shared" si="1"/>
        <v>150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3374.2632</v>
      </c>
      <c r="D31" s="30">
        <f>+'РАЗХОДИ ПО КМЕТСТВА'!AE31</f>
        <v>3770.1567599999994</v>
      </c>
      <c r="E31" s="30"/>
      <c r="F31" s="30"/>
      <c r="G31" s="30"/>
      <c r="H31" s="30"/>
      <c r="I31" s="30"/>
      <c r="J31" s="30"/>
      <c r="K31" s="30"/>
      <c r="L31" s="30">
        <f>+'РАЗХОДИ ПО КМЕТСТВА'!T31</f>
        <v>0</v>
      </c>
      <c r="M31" s="30"/>
      <c r="N31" s="30"/>
      <c r="O31" s="33">
        <f t="shared" si="0"/>
        <v>3374.2632</v>
      </c>
      <c r="P31" s="86">
        <f>D31+F31+H31+L31+N31</f>
        <v>3770.1567599999994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КМЕТСТВА'!F31+'РАЗХОДИ ПО КМЕТСТВА'!G31</f>
        <v>329.5</v>
      </c>
      <c r="G38" s="30"/>
      <c r="H38" s="30"/>
      <c r="I38" s="30"/>
      <c r="J38" s="30"/>
      <c r="K38" s="30"/>
      <c r="L38" s="30">
        <f>+'РАЗХОДИ ПО КМЕТСТВА'!R31</f>
        <v>45</v>
      </c>
      <c r="M38" s="30"/>
      <c r="N38" s="30"/>
      <c r="O38" s="33">
        <f t="shared" si="0"/>
        <v>200</v>
      </c>
      <c r="P38" s="86">
        <f t="shared" si="1"/>
        <v>374.5</v>
      </c>
    </row>
    <row r="39" spans="1:16" s="2" customFormat="1" ht="30.7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КМЕТСТВА'!C31+'РАЗХОДИ ПО КМЕТСТВА'!D31+'РАЗХОДИ ПО КМЕТСТВА'!E31</f>
        <v>1690.72</v>
      </c>
      <c r="G39" s="30">
        <v>4530</v>
      </c>
      <c r="H39" s="30">
        <f>+'РАЗХОДИ ПО КМЕТСТВА'!N31</f>
        <v>4312.8</v>
      </c>
      <c r="I39" s="30"/>
      <c r="J39" s="30"/>
      <c r="K39" s="30"/>
      <c r="L39" s="30"/>
      <c r="M39" s="30"/>
      <c r="N39" s="30"/>
      <c r="O39" s="33">
        <f t="shared" si="0"/>
        <v>5570</v>
      </c>
      <c r="P39" s="86">
        <f t="shared" si="1"/>
        <v>6003.52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КМЕТСТВА'!H31+'РАЗХОДИ ПО КМЕТСТВА'!I31+'РАЗХОДИ ПО КМЕТСТВА'!J31+'РАЗХОДИ ПО КМЕТСТВА'!L31+'РАЗХОДИ ПО КМЕТСТВА'!K31</f>
        <v>709.99</v>
      </c>
      <c r="G40" s="30"/>
      <c r="H40" s="30"/>
      <c r="I40" s="30"/>
      <c r="J40" s="30">
        <f>+'РАЗХОДИ ПО КМЕТСТВА'!Y31</f>
        <v>1267.25</v>
      </c>
      <c r="K40" s="23"/>
      <c r="L40" s="96">
        <f>+'РАЗХОДИ ПО КМЕТСТВА'!Q31</f>
        <v>1906.62</v>
      </c>
      <c r="M40" s="30">
        <v>25397</v>
      </c>
      <c r="N40" s="30">
        <f>+'РАЗХОДИ ПО КМЕТСТВА'!V31</f>
        <v>22428.98</v>
      </c>
      <c r="O40" s="33">
        <f t="shared" si="0"/>
        <v>25917</v>
      </c>
      <c r="P40" s="86">
        <f>D40+F40+H40+L40+N40+J40</f>
        <v>26312.84</v>
      </c>
    </row>
    <row r="41" spans="1:16" ht="15.75">
      <c r="A41" s="29" t="s">
        <v>31</v>
      </c>
      <c r="B41" s="26" t="s">
        <v>13</v>
      </c>
      <c r="C41" s="30"/>
      <c r="D41" s="30"/>
      <c r="E41" s="24">
        <v>4396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4396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480</v>
      </c>
      <c r="F42" s="30">
        <f>+'РАЗХОДИ ПО КМЕТСТВА'!M31</f>
        <v>352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480</v>
      </c>
      <c r="P42" s="86">
        <f t="shared" si="1"/>
        <v>352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63">
        <f aca="true" t="shared" si="2" ref="C45:O45">SUM(C25:C44)</f>
        <v>20930.2632</v>
      </c>
      <c r="D45" s="63">
        <f t="shared" si="2"/>
        <v>23385.956759999997</v>
      </c>
      <c r="E45" s="63">
        <f t="shared" si="2"/>
        <v>6636</v>
      </c>
      <c r="F45" s="63">
        <f t="shared" si="2"/>
        <v>3082.21</v>
      </c>
      <c r="G45" s="63">
        <f t="shared" si="2"/>
        <v>4530</v>
      </c>
      <c r="H45" s="63">
        <f t="shared" si="2"/>
        <v>4312.8</v>
      </c>
      <c r="I45" s="63">
        <f t="shared" si="2"/>
        <v>0</v>
      </c>
      <c r="J45" s="63">
        <f t="shared" si="2"/>
        <v>1267.25</v>
      </c>
      <c r="K45" s="63">
        <f t="shared" si="2"/>
        <v>400</v>
      </c>
      <c r="L45" s="63">
        <f t="shared" si="2"/>
        <v>2101.62</v>
      </c>
      <c r="M45" s="63">
        <f t="shared" si="2"/>
        <v>25397</v>
      </c>
      <c r="N45" s="63">
        <f t="shared" si="2"/>
        <v>22428.98</v>
      </c>
      <c r="O45" s="38">
        <f t="shared" si="2"/>
        <v>57893.2632</v>
      </c>
      <c r="P45" s="38">
        <f>SUM(P25:P44)</f>
        <v>56578.81676</v>
      </c>
    </row>
    <row r="46" ht="6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КМЕТСТВА'!AH31-Мараш!P45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.7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8.2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7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B1">
      <selection activeCell="H12" sqref="H12"/>
    </sheetView>
  </sheetViews>
  <sheetFormatPr defaultColWidth="9.140625" defaultRowHeight="12.75"/>
  <cols>
    <col min="1" max="1" width="39.421875" style="0" customWidth="1"/>
    <col min="2" max="2" width="13.7109375" style="3" customWidth="1"/>
    <col min="3" max="3" width="12.8515625" style="17" customWidth="1"/>
    <col min="4" max="4" width="12.8515625" style="8" customWidth="1"/>
    <col min="5" max="5" width="11.7109375" style="8" customWidth="1"/>
    <col min="6" max="6" width="11.00390625" style="8" customWidth="1"/>
    <col min="7" max="7" width="12.140625" style="8" customWidth="1"/>
    <col min="8" max="8" width="11.28125" style="8" customWidth="1"/>
    <col min="9" max="10" width="11.7109375" style="8" customWidth="1"/>
    <col min="11" max="11" width="11.00390625" style="0" customWidth="1"/>
    <col min="12" max="12" width="11.28125" style="0" customWidth="1"/>
    <col min="13" max="13" width="11.57421875" style="0" customWidth="1"/>
    <col min="14" max="14" width="12.7109375" style="0" customWidth="1"/>
    <col min="15" max="15" width="11.28125" style="0" customWidth="1"/>
    <col min="16" max="16" width="14.57421875" style="0" customWidth="1"/>
    <col min="20" max="20" width="11.57421875" style="0" bestFit="1" customWidth="1"/>
  </cols>
  <sheetData>
    <row r="1" spans="1:3" ht="18">
      <c r="A1" s="56"/>
      <c r="C1" s="8"/>
    </row>
    <row r="2" spans="1:15" ht="15.75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7.5" customHeight="1">
      <c r="A4" s="9"/>
      <c r="B4" s="9"/>
      <c r="C4" s="1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9.5" customHeight="1">
      <c r="A5" s="13" t="s">
        <v>45</v>
      </c>
      <c r="B5" s="5"/>
      <c r="C5" s="18"/>
      <c r="D5" s="9"/>
      <c r="E5" s="9"/>
      <c r="F5" s="9"/>
      <c r="G5" s="9">
        <v>2018</v>
      </c>
      <c r="H5" s="9"/>
      <c r="I5" s="9"/>
      <c r="J5" s="9"/>
      <c r="K5" s="9"/>
      <c r="L5" s="9"/>
      <c r="M5" s="9"/>
      <c r="N5" s="9"/>
      <c r="O5" s="9"/>
    </row>
    <row r="6" spans="1:15" ht="19.5" customHeight="1">
      <c r="A6" s="13"/>
      <c r="B6" s="5"/>
      <c r="C6" s="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" customHeight="1">
      <c r="A7" s="9"/>
      <c r="B7" s="5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.7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148</v>
      </c>
      <c r="O8" s="9"/>
    </row>
    <row r="9" spans="1:15" ht="21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3740</v>
      </c>
      <c r="D10" s="23">
        <v>10359</v>
      </c>
      <c r="E10" s="23">
        <f>SUM(C10:D10)</f>
        <v>14099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5847</v>
      </c>
      <c r="D12" s="23">
        <f>SUM(D13:D14)</f>
        <v>5280</v>
      </c>
      <c r="E12" s="23">
        <f>SUM(C12:D12)</f>
        <v>11127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5847</v>
      </c>
      <c r="D13" s="23">
        <v>5280</v>
      </c>
      <c r="E13" s="23">
        <f>SUM(C13:D13)</f>
        <v>11127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10319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9587</v>
      </c>
      <c r="D16" s="53">
        <f>D10+D12</f>
        <v>15639</v>
      </c>
      <c r="E16" s="53">
        <f>E10+E12+E15</f>
        <v>35545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>
      <c r="A17" s="13" t="s">
        <v>48</v>
      </c>
      <c r="B17" s="9"/>
      <c r="C17" s="1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</row>
    <row r="19" spans="1:16" ht="64.5" customHeight="1">
      <c r="A19" s="141" t="s">
        <v>38</v>
      </c>
      <c r="B19" s="142" t="s">
        <v>0</v>
      </c>
      <c r="C19" s="153" t="s">
        <v>63</v>
      </c>
      <c r="D19" s="154"/>
      <c r="E19" s="154"/>
      <c r="F19" s="155"/>
      <c r="G19" s="156" t="s">
        <v>42</v>
      </c>
      <c r="H19" s="157"/>
      <c r="I19" s="161" t="s">
        <v>100</v>
      </c>
      <c r="J19" s="162"/>
      <c r="K19" s="156" t="s">
        <v>43</v>
      </c>
      <c r="L19" s="157"/>
      <c r="M19" s="158" t="s">
        <v>44</v>
      </c>
      <c r="N19" s="159"/>
      <c r="O19" s="149" t="s">
        <v>60</v>
      </c>
      <c r="P19" s="150"/>
    </row>
    <row r="20" spans="1:16" s="1" customFormat="1" ht="43.5" customHeight="1">
      <c r="A20" s="141"/>
      <c r="B20" s="142"/>
      <c r="C20" s="145" t="s">
        <v>39</v>
      </c>
      <c r="D20" s="146"/>
      <c r="E20" s="147" t="s">
        <v>40</v>
      </c>
      <c r="F20" s="148"/>
      <c r="G20" s="147" t="s">
        <v>40</v>
      </c>
      <c r="H20" s="148"/>
      <c r="I20" s="147" t="s">
        <v>40</v>
      </c>
      <c r="J20" s="148"/>
      <c r="K20" s="147" t="s">
        <v>40</v>
      </c>
      <c r="L20" s="148"/>
      <c r="M20" s="147" t="s">
        <v>40</v>
      </c>
      <c r="N20" s="160"/>
      <c r="O20" s="151"/>
      <c r="P20" s="152"/>
    </row>
    <row r="21" spans="1:16" s="1" customFormat="1" ht="30.75" customHeight="1">
      <c r="A21" s="71"/>
      <c r="B21" s="72"/>
      <c r="C21" s="94" t="s">
        <v>104</v>
      </c>
      <c r="D21" s="95" t="s">
        <v>105</v>
      </c>
      <c r="E21" s="94" t="s">
        <v>104</v>
      </c>
      <c r="F21" s="95" t="s">
        <v>106</v>
      </c>
      <c r="G21" s="94" t="s">
        <v>104</v>
      </c>
      <c r="H21" s="95" t="s">
        <v>106</v>
      </c>
      <c r="I21" s="94" t="s">
        <v>104</v>
      </c>
      <c r="J21" s="95" t="s">
        <v>106</v>
      </c>
      <c r="K21" s="94" t="s">
        <v>104</v>
      </c>
      <c r="L21" s="95" t="s">
        <v>106</v>
      </c>
      <c r="M21" s="94" t="s">
        <v>104</v>
      </c>
      <c r="N21" s="95" t="s">
        <v>106</v>
      </c>
      <c r="O21" s="94" t="s">
        <v>104</v>
      </c>
      <c r="P21" s="95" t="s">
        <v>106</v>
      </c>
    </row>
    <row r="22" spans="1:16" s="2" customFormat="1" ht="28.5" customHeight="1">
      <c r="A22" s="29" t="s">
        <v>1</v>
      </c>
      <c r="B22" s="26" t="s">
        <v>17</v>
      </c>
      <c r="C22" s="67">
        <v>11652</v>
      </c>
      <c r="D22" s="66">
        <f>+'РАЗХОДИ ПО КМЕТСТВА'!AF6</f>
        <v>13201.97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33">
        <f aca="true" t="shared" si="0" ref="O22:O41">C22+E22+G22+K22+M22</f>
        <v>11652</v>
      </c>
      <c r="P22" s="85">
        <f>D22+F22+H22+L22+N22+J22</f>
        <v>13201.97</v>
      </c>
    </row>
    <row r="23" spans="1:16" s="2" customFormat="1" ht="28.5" customHeight="1">
      <c r="A23" s="29" t="s">
        <v>24</v>
      </c>
      <c r="B23" s="26" t="s">
        <v>25</v>
      </c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33">
        <f t="shared" si="0"/>
        <v>0</v>
      </c>
      <c r="P23" s="85">
        <f aca="true" t="shared" si="1" ref="P23:P35">D23+F23+H23+L23+N23</f>
        <v>0</v>
      </c>
    </row>
    <row r="24" spans="1:16" s="2" customFormat="1" ht="27.75" customHeight="1">
      <c r="A24" s="29" t="s">
        <v>32</v>
      </c>
      <c r="B24" s="26" t="s">
        <v>26</v>
      </c>
      <c r="C24" s="67"/>
      <c r="D24" s="66"/>
      <c r="E24" s="66"/>
      <c r="F24" s="66"/>
      <c r="G24" s="66"/>
      <c r="H24" s="66"/>
      <c r="I24" s="66"/>
      <c r="J24" s="66"/>
      <c r="K24" s="66">
        <v>400</v>
      </c>
      <c r="L24" s="66"/>
      <c r="M24" s="66"/>
      <c r="N24" s="66"/>
      <c r="O24" s="33">
        <f t="shared" si="0"/>
        <v>400</v>
      </c>
      <c r="P24" s="85">
        <f t="shared" si="1"/>
        <v>0</v>
      </c>
    </row>
    <row r="25" spans="1:16" s="2" customFormat="1" ht="15">
      <c r="A25" s="29" t="s">
        <v>28</v>
      </c>
      <c r="B25" s="26" t="s">
        <v>27</v>
      </c>
      <c r="C25" s="67">
        <v>350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33">
        <f t="shared" si="0"/>
        <v>350</v>
      </c>
      <c r="P25" s="85">
        <f t="shared" si="1"/>
        <v>0</v>
      </c>
    </row>
    <row r="26" spans="1:16" s="2" customFormat="1" ht="30">
      <c r="A26" s="29" t="s">
        <v>36</v>
      </c>
      <c r="B26" s="26" t="s">
        <v>37</v>
      </c>
      <c r="C26" s="67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33">
        <f t="shared" si="0"/>
        <v>0</v>
      </c>
      <c r="P26" s="85">
        <f t="shared" si="1"/>
        <v>0</v>
      </c>
    </row>
    <row r="27" spans="1:16" s="2" customFormat="1" ht="28.5" customHeight="1">
      <c r="A27" s="29" t="s">
        <v>35</v>
      </c>
      <c r="B27" s="26" t="s">
        <v>34</v>
      </c>
      <c r="C27" s="67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33">
        <f t="shared" si="0"/>
        <v>0</v>
      </c>
      <c r="P27" s="85">
        <f t="shared" si="1"/>
        <v>0</v>
      </c>
    </row>
    <row r="28" spans="1:16" s="2" customFormat="1" ht="30">
      <c r="A28" s="29" t="s">
        <v>18</v>
      </c>
      <c r="B28" s="26" t="s">
        <v>4</v>
      </c>
      <c r="C28" s="67">
        <f>C22*19.22/100</f>
        <v>2239.5143999999996</v>
      </c>
      <c r="D28" s="66">
        <f>+'РАЗХОДИ ПО КМЕТСТВА'!AE6</f>
        <v>2537.4186339999997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33">
        <f>C28+E28+G28+K28+M28</f>
        <v>2239.5143999999996</v>
      </c>
      <c r="P28" s="85">
        <f>D28+F28+H28+L28+N28</f>
        <v>2537.4186339999997</v>
      </c>
    </row>
    <row r="29" spans="1:16" s="2" customFormat="1" ht="15">
      <c r="A29" s="29" t="s">
        <v>19</v>
      </c>
      <c r="B29" s="26" t="s">
        <v>5</v>
      </c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33">
        <f t="shared" si="0"/>
        <v>0</v>
      </c>
      <c r="P29" s="85">
        <f t="shared" si="1"/>
        <v>0</v>
      </c>
    </row>
    <row r="30" spans="1:16" s="2" customFormat="1" ht="15">
      <c r="A30" s="29" t="s">
        <v>20</v>
      </c>
      <c r="B30" s="26" t="s">
        <v>6</v>
      </c>
      <c r="C30" s="6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33">
        <f t="shared" si="0"/>
        <v>0</v>
      </c>
      <c r="P30" s="85">
        <f t="shared" si="1"/>
        <v>0</v>
      </c>
    </row>
    <row r="31" spans="1:16" s="2" customFormat="1" ht="30">
      <c r="A31" s="29" t="s">
        <v>21</v>
      </c>
      <c r="B31" s="26" t="s">
        <v>7</v>
      </c>
      <c r="C31" s="67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33">
        <f t="shared" si="0"/>
        <v>0</v>
      </c>
      <c r="P31" s="85">
        <f t="shared" si="1"/>
        <v>0</v>
      </c>
    </row>
    <row r="32" spans="1:16" s="2" customFormat="1" ht="30">
      <c r="A32" s="29" t="s">
        <v>22</v>
      </c>
      <c r="B32" s="26" t="s">
        <v>8</v>
      </c>
      <c r="C32" s="67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33">
        <f t="shared" si="0"/>
        <v>0</v>
      </c>
      <c r="P32" s="85">
        <f t="shared" si="1"/>
        <v>0</v>
      </c>
    </row>
    <row r="33" spans="1:16" s="2" customFormat="1" ht="15">
      <c r="A33" s="29" t="s">
        <v>23</v>
      </c>
      <c r="B33" s="26" t="s">
        <v>9</v>
      </c>
      <c r="C33" s="67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33">
        <f t="shared" si="0"/>
        <v>0</v>
      </c>
      <c r="P33" s="85">
        <f t="shared" si="1"/>
        <v>0</v>
      </c>
    </row>
    <row r="34" spans="1:16" s="2" customFormat="1" ht="30">
      <c r="A34" s="29" t="s">
        <v>29</v>
      </c>
      <c r="B34" s="26" t="s">
        <v>16</v>
      </c>
      <c r="C34" s="6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33">
        <f t="shared" si="0"/>
        <v>0</v>
      </c>
      <c r="P34" s="85">
        <f t="shared" si="1"/>
        <v>0</v>
      </c>
    </row>
    <row r="35" spans="1:16" s="2" customFormat="1" ht="15">
      <c r="A35" s="29" t="s">
        <v>30</v>
      </c>
      <c r="B35" s="26" t="s">
        <v>10</v>
      </c>
      <c r="C35" s="67"/>
      <c r="D35" s="82"/>
      <c r="E35" s="66">
        <v>200</v>
      </c>
      <c r="F35" s="66">
        <f>+'РАЗХОДИ ПО КМЕТСТВА'!F6+'РАЗХОДИ ПО КМЕТСТВА'!G6</f>
        <v>249.6</v>
      </c>
      <c r="G35" s="66"/>
      <c r="H35" s="66"/>
      <c r="I35" s="66"/>
      <c r="J35" s="66"/>
      <c r="K35" s="66"/>
      <c r="L35" s="66"/>
      <c r="M35" s="66"/>
      <c r="N35" s="66"/>
      <c r="O35" s="33">
        <f t="shared" si="0"/>
        <v>200</v>
      </c>
      <c r="P35" s="85">
        <f t="shared" si="1"/>
        <v>249.6</v>
      </c>
    </row>
    <row r="36" spans="1:16" s="2" customFormat="1" ht="45">
      <c r="A36" s="29" t="s">
        <v>62</v>
      </c>
      <c r="B36" s="26" t="s">
        <v>11</v>
      </c>
      <c r="C36" s="67"/>
      <c r="D36" s="82"/>
      <c r="E36" s="66">
        <v>1040</v>
      </c>
      <c r="F36" s="66">
        <f>+'РАЗХОДИ ПО КМЕТСТВА'!C6+'РАЗХОДИ ПО КМЕТСТВА'!D6+'РАЗХОДИ ПО КМЕТСТВА'!E6</f>
        <v>2601.05</v>
      </c>
      <c r="G36" s="66">
        <v>2620</v>
      </c>
      <c r="H36" s="66">
        <f>+'РАЗХОДИ ПО КМЕТСТВА'!N6</f>
        <v>1585.15</v>
      </c>
      <c r="I36" s="66"/>
      <c r="J36" s="66"/>
      <c r="K36" s="66"/>
      <c r="L36" s="66"/>
      <c r="M36" s="66"/>
      <c r="N36" s="66"/>
      <c r="O36" s="33">
        <f t="shared" si="0"/>
        <v>3660</v>
      </c>
      <c r="P36" s="85">
        <f>D36+F36+H36+L36+N36+J36</f>
        <v>4186.200000000001</v>
      </c>
    </row>
    <row r="37" spans="1:16" ht="30">
      <c r="A37" s="29" t="s">
        <v>61</v>
      </c>
      <c r="B37" s="26" t="s">
        <v>12</v>
      </c>
      <c r="C37" s="67"/>
      <c r="D37" s="84"/>
      <c r="E37" s="66">
        <v>520</v>
      </c>
      <c r="F37" s="66">
        <f>+'РАЗХОДИ ПО КМЕТСТВА'!H6+'РАЗХОДИ ПО КМЕТСТВА'!I6+'РАЗХОДИ ПО КМЕТСТВА'!J6+'РАЗХОДИ ПО КМЕТСТВА'!L6+'РАЗХОДИ ПО КМЕТСТВА'!K6</f>
        <v>708.14</v>
      </c>
      <c r="G37" s="66"/>
      <c r="H37" s="66"/>
      <c r="I37" s="66"/>
      <c r="J37" s="66">
        <f>+'РАЗХОДИ ПО КМЕТСТВА'!Y6</f>
        <v>299.17</v>
      </c>
      <c r="K37" s="68"/>
      <c r="L37" s="66">
        <f>+'РАЗХОДИ ПО КМЕТСТВА'!Q6</f>
        <v>810</v>
      </c>
      <c r="M37" s="66">
        <v>9874</v>
      </c>
      <c r="N37" s="66">
        <f>+'РАЗХОДИ ПО КМЕТСТВА'!V6</f>
        <v>13871.59</v>
      </c>
      <c r="O37" s="33">
        <f t="shared" si="0"/>
        <v>10394</v>
      </c>
      <c r="P37" s="85">
        <f>D37+F37+H37+L37+N37+J37</f>
        <v>15688.9</v>
      </c>
    </row>
    <row r="38" spans="1:16" ht="15.75">
      <c r="A38" s="29" t="s">
        <v>31</v>
      </c>
      <c r="B38" s="26" t="s">
        <v>13</v>
      </c>
      <c r="C38" s="67"/>
      <c r="D38" s="84"/>
      <c r="E38" s="69">
        <v>1276</v>
      </c>
      <c r="F38" s="69">
        <f>+'РАЗХОДИ ПО КМЕТСТВА'!AA6</f>
        <v>6906.86</v>
      </c>
      <c r="G38" s="69"/>
      <c r="H38" s="69"/>
      <c r="I38" s="69"/>
      <c r="J38" s="69"/>
      <c r="K38" s="68"/>
      <c r="L38" s="68"/>
      <c r="M38" s="68"/>
      <c r="N38" s="68"/>
      <c r="O38" s="33">
        <f t="shared" si="0"/>
        <v>1276</v>
      </c>
      <c r="P38" s="85">
        <f>D38+F38+H38+L38+N38</f>
        <v>6906.86</v>
      </c>
    </row>
    <row r="39" spans="1:16" ht="15">
      <c r="A39" s="29" t="s">
        <v>65</v>
      </c>
      <c r="B39" s="26" t="s">
        <v>15</v>
      </c>
      <c r="C39" s="67"/>
      <c r="D39" s="84"/>
      <c r="E39" s="66">
        <v>275</v>
      </c>
      <c r="F39" s="66">
        <f>+'РАЗХОДИ ПО КМЕТСТВА'!M6</f>
        <v>170</v>
      </c>
      <c r="G39" s="66"/>
      <c r="H39" s="66"/>
      <c r="I39" s="66"/>
      <c r="J39" s="66"/>
      <c r="K39" s="68"/>
      <c r="L39" s="68"/>
      <c r="M39" s="68"/>
      <c r="N39" s="68"/>
      <c r="O39" s="33">
        <f t="shared" si="0"/>
        <v>275</v>
      </c>
      <c r="P39" s="85">
        <f>D39+F39+H39+L39+N39</f>
        <v>170</v>
      </c>
    </row>
    <row r="40" spans="1:16" ht="15">
      <c r="A40" s="29" t="s">
        <v>2</v>
      </c>
      <c r="B40" s="26"/>
      <c r="C40" s="67"/>
      <c r="D40" s="84"/>
      <c r="E40" s="66"/>
      <c r="F40" s="66"/>
      <c r="G40" s="66"/>
      <c r="H40" s="66"/>
      <c r="I40" s="66"/>
      <c r="J40" s="66"/>
      <c r="K40" s="68"/>
      <c r="L40" s="68"/>
      <c r="M40" s="68"/>
      <c r="N40" s="68"/>
      <c r="O40" s="33">
        <f t="shared" si="0"/>
        <v>0</v>
      </c>
      <c r="P40" s="85">
        <f>D40+F40+H40+L40+N40</f>
        <v>0</v>
      </c>
    </row>
    <row r="41" spans="1:16" ht="15">
      <c r="A41" s="29" t="s">
        <v>3</v>
      </c>
      <c r="B41" s="26" t="s">
        <v>14</v>
      </c>
      <c r="C41" s="67"/>
      <c r="D41" s="84"/>
      <c r="E41" s="66"/>
      <c r="F41" s="66"/>
      <c r="G41" s="66"/>
      <c r="H41" s="66"/>
      <c r="I41" s="66"/>
      <c r="J41" s="66"/>
      <c r="K41" s="68"/>
      <c r="L41" s="68"/>
      <c r="M41" s="68"/>
      <c r="N41" s="68"/>
      <c r="O41" s="33">
        <f t="shared" si="0"/>
        <v>0</v>
      </c>
      <c r="P41" s="85">
        <f>D41+F41+H41+L41+N41</f>
        <v>0</v>
      </c>
    </row>
    <row r="42" spans="1:16" ht="15.75">
      <c r="A42" s="36" t="s">
        <v>59</v>
      </c>
      <c r="B42" s="26"/>
      <c r="C42" s="54">
        <f aca="true" t="shared" si="2" ref="C42:N42">SUM(C22:C41)</f>
        <v>14241.5144</v>
      </c>
      <c r="D42" s="54">
        <f t="shared" si="2"/>
        <v>15739.388633999999</v>
      </c>
      <c r="E42" s="54">
        <f t="shared" si="2"/>
        <v>3311</v>
      </c>
      <c r="F42" s="54">
        <f t="shared" si="2"/>
        <v>10635.65</v>
      </c>
      <c r="G42" s="54">
        <f t="shared" si="2"/>
        <v>2620</v>
      </c>
      <c r="H42" s="54">
        <f t="shared" si="2"/>
        <v>1585.15</v>
      </c>
      <c r="I42" s="54">
        <f t="shared" si="2"/>
        <v>0</v>
      </c>
      <c r="J42" s="54">
        <f t="shared" si="2"/>
        <v>299.17</v>
      </c>
      <c r="K42" s="54">
        <f t="shared" si="2"/>
        <v>400</v>
      </c>
      <c r="L42" s="54">
        <f t="shared" si="2"/>
        <v>810</v>
      </c>
      <c r="M42" s="54">
        <f t="shared" si="2"/>
        <v>9874</v>
      </c>
      <c r="N42" s="54">
        <f t="shared" si="2"/>
        <v>13871.59</v>
      </c>
      <c r="O42" s="87">
        <f>SUM(O22:O41)</f>
        <v>30446.5144</v>
      </c>
      <c r="P42" s="91">
        <f>SUM(P22:P41)</f>
        <v>42940.948634</v>
      </c>
    </row>
    <row r="44" spans="1:14" ht="15">
      <c r="A44" s="27"/>
      <c r="B44" s="39"/>
      <c r="C44" s="40"/>
      <c r="D44" s="40"/>
      <c r="E44" s="40"/>
      <c r="F44" s="40"/>
      <c r="G44" s="40"/>
      <c r="H44" s="40"/>
      <c r="I44" s="40"/>
      <c r="J44" s="40"/>
      <c r="K44" s="27"/>
      <c r="L44" s="27"/>
      <c r="M44" s="27"/>
      <c r="N44" s="27"/>
    </row>
    <row r="45" spans="1:16" ht="15">
      <c r="A45" s="27"/>
      <c r="B45" s="39"/>
      <c r="C45" s="40"/>
      <c r="D45" s="40"/>
      <c r="E45" s="40"/>
      <c r="F45" s="40"/>
      <c r="G45" s="40"/>
      <c r="H45" s="40"/>
      <c r="I45" s="40"/>
      <c r="J45" s="40"/>
      <c r="K45" s="27"/>
      <c r="L45" s="27"/>
      <c r="M45" s="27"/>
      <c r="N45" s="27"/>
      <c r="P45" s="106">
        <f>'РАЗХОДИ ПО КМЕТСТВА'!AH6-Белокопитово!P42</f>
        <v>0</v>
      </c>
    </row>
    <row r="46" spans="1:16" ht="15.75">
      <c r="A46" s="47"/>
      <c r="B46" s="39"/>
      <c r="C46" s="40"/>
      <c r="D46" s="40"/>
      <c r="E46" s="40"/>
      <c r="F46" s="40"/>
      <c r="G46" s="40"/>
      <c r="H46" s="40"/>
      <c r="I46" s="40"/>
      <c r="J46" s="40"/>
      <c r="K46" s="27"/>
      <c r="L46" s="27"/>
      <c r="M46" s="27"/>
      <c r="N46" s="27"/>
      <c r="P46" s="106"/>
    </row>
    <row r="47" spans="1:14" ht="15.75">
      <c r="A47" s="41"/>
      <c r="B47" s="39"/>
      <c r="C47" s="40"/>
      <c r="D47" s="40"/>
      <c r="E47" s="40"/>
      <c r="F47" s="40"/>
      <c r="G47" s="40"/>
      <c r="H47" s="40"/>
      <c r="I47" s="40"/>
      <c r="J47" s="40"/>
      <c r="K47" s="47"/>
      <c r="L47" s="47"/>
      <c r="M47" s="27"/>
      <c r="N47" s="27"/>
    </row>
    <row r="48" spans="1:14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41"/>
      <c r="L48" s="41"/>
      <c r="M48" s="41"/>
      <c r="N48" s="41"/>
    </row>
    <row r="49" spans="1:14" ht="15">
      <c r="A49" s="2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7"/>
      <c r="B50" s="39"/>
      <c r="C50" s="40"/>
      <c r="D50" s="40"/>
      <c r="E50" s="40"/>
      <c r="F50" s="40"/>
      <c r="G50" s="40"/>
      <c r="H50" s="40"/>
      <c r="I50" s="40"/>
      <c r="J50" s="40"/>
      <c r="K50" s="27"/>
      <c r="L50" s="27"/>
      <c r="M50" s="27"/>
      <c r="N50" s="27"/>
    </row>
    <row r="51" spans="1:14" ht="15">
      <c r="A51" s="41"/>
      <c r="B51" s="39"/>
      <c r="C51" s="40"/>
      <c r="D51" s="40"/>
      <c r="E51" s="40"/>
      <c r="F51" s="40"/>
      <c r="G51" s="40"/>
      <c r="H51" s="40"/>
      <c r="I51" s="40"/>
      <c r="J51" s="40"/>
      <c r="K51" s="27"/>
      <c r="L51" s="27"/>
      <c r="M51" s="27"/>
      <c r="N51" s="27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9.75" customHeight="1">
      <c r="A53" s="2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.75">
      <c r="A54" s="47"/>
      <c r="B54" s="42"/>
      <c r="C54" s="40"/>
      <c r="D54" s="40"/>
      <c r="E54" s="40"/>
      <c r="F54" s="40"/>
      <c r="G54" s="43"/>
      <c r="H54" s="43"/>
      <c r="I54" s="43"/>
      <c r="J54" s="43"/>
      <c r="K54" s="44"/>
      <c r="L54" s="44"/>
      <c r="M54" s="27"/>
      <c r="N54" s="27"/>
    </row>
    <row r="55" spans="1:14" ht="15">
      <c r="A55" s="41"/>
      <c r="B55" s="42"/>
      <c r="C55" s="40"/>
      <c r="D55" s="40"/>
      <c r="E55" s="40"/>
      <c r="F55" s="40"/>
      <c r="G55" s="43"/>
      <c r="H55" s="43"/>
      <c r="I55" s="43"/>
      <c r="J55" s="43"/>
      <c r="K55" s="27"/>
      <c r="L55" s="27"/>
      <c r="M55" s="27"/>
      <c r="N55" s="27"/>
    </row>
    <row r="56" spans="1:14" ht="15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8"/>
      <c r="B57" s="49"/>
      <c r="C57" s="50"/>
      <c r="D57" s="40"/>
      <c r="E57" s="40"/>
      <c r="F57" s="40"/>
      <c r="G57" s="40"/>
      <c r="H57" s="40"/>
      <c r="I57" s="40"/>
      <c r="J57" s="40"/>
      <c r="K57" s="27"/>
      <c r="L57" s="27"/>
      <c r="M57" s="27"/>
      <c r="N57" s="27"/>
    </row>
    <row r="58" spans="1:14" ht="15">
      <c r="A58" s="45"/>
      <c r="B58" s="46"/>
      <c r="C58" s="41"/>
      <c r="D58" s="40"/>
      <c r="E58" s="40"/>
      <c r="F58" s="40"/>
      <c r="G58" s="40"/>
      <c r="H58" s="40"/>
      <c r="I58" s="40"/>
      <c r="J58" s="40"/>
      <c r="K58" s="27"/>
      <c r="L58" s="27"/>
      <c r="M58" s="27"/>
      <c r="N58" s="27"/>
    </row>
    <row r="59" ht="12.75">
      <c r="C59" s="8"/>
    </row>
    <row r="60" ht="12.75">
      <c r="C60" s="8"/>
    </row>
  </sheetData>
  <sheetProtection/>
  <mergeCells count="19">
    <mergeCell ref="C19:F19"/>
    <mergeCell ref="G19:H19"/>
    <mergeCell ref="G20:H20"/>
    <mergeCell ref="K19:L19"/>
    <mergeCell ref="K20:L20"/>
    <mergeCell ref="M19:N19"/>
    <mergeCell ref="M20:N20"/>
    <mergeCell ref="I19:J19"/>
    <mergeCell ref="I20:J20"/>
    <mergeCell ref="A2:O2"/>
    <mergeCell ref="A3:O3"/>
    <mergeCell ref="A18:O18"/>
    <mergeCell ref="A19:A20"/>
    <mergeCell ref="B19:B20"/>
    <mergeCell ref="H8:M8"/>
    <mergeCell ref="H9:M9"/>
    <mergeCell ref="C20:D20"/>
    <mergeCell ref="E20:F20"/>
    <mergeCell ref="O19:P20"/>
  </mergeCells>
  <printOptions/>
  <pageMargins left="0.5118110236220472" right="0.15748031496062992" top="0" bottom="0.2755905511811024" header="0.31496062992125984" footer="0.2755905511811024"/>
  <pageSetup fitToWidth="0" fitToHeight="1" horizontalDpi="600" verticalDpi="600" orientation="landscape" paperSize="9" scale="6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0">
      <selection activeCell="D32" sqref="D32"/>
    </sheetView>
  </sheetViews>
  <sheetFormatPr defaultColWidth="9.140625" defaultRowHeight="12.75"/>
  <cols>
    <col min="1" max="1" width="38.7109375" style="0" customWidth="1"/>
    <col min="2" max="2" width="13.7109375" style="3" customWidth="1"/>
    <col min="3" max="3" width="11.57421875" style="8" customWidth="1"/>
    <col min="4" max="4" width="13.00390625" style="8" customWidth="1"/>
    <col min="5" max="5" width="12.421875" style="8" customWidth="1"/>
    <col min="6" max="6" width="13.28125" style="8" customWidth="1"/>
    <col min="7" max="7" width="11.421875" style="8" customWidth="1"/>
    <col min="8" max="10" width="12.7109375" style="8" customWidth="1"/>
    <col min="11" max="11" width="10.7109375" style="0" customWidth="1"/>
    <col min="12" max="12" width="14.140625" style="0" customWidth="1"/>
    <col min="13" max="13" width="11.140625" style="0" customWidth="1"/>
    <col min="14" max="14" width="12.421875" style="0" customWidth="1"/>
    <col min="15" max="15" width="10.8515625" style="0" bestFit="1" customWidth="1"/>
    <col min="16" max="16" width="12.8515625" style="0" customWidth="1"/>
    <col min="20" max="20" width="11.57421875" style="0" bestFit="1" customWidth="1"/>
  </cols>
  <sheetData>
    <row r="1" ht="41.25" customHeight="1">
      <c r="A1" s="56"/>
    </row>
    <row r="2" spans="1:15" ht="15.75">
      <c r="A2" s="139" t="s">
        <v>81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.75" customHeight="1">
      <c r="A6" s="9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8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/>
      <c r="O8" s="9"/>
    </row>
    <row r="9" spans="1:15" ht="21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0.5</v>
      </c>
      <c r="O9" s="9"/>
    </row>
    <row r="10" spans="1:15" ht="15.75">
      <c r="A10" s="11" t="s">
        <v>46</v>
      </c>
      <c r="B10" s="4" t="s">
        <v>47</v>
      </c>
      <c r="C10" s="23">
        <v>0</v>
      </c>
      <c r="D10" s="23">
        <v>0</v>
      </c>
      <c r="E10" s="23">
        <f>SUM(C10:D10)</f>
        <v>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0</v>
      </c>
      <c r="D12" s="23">
        <f>SUM(D13:D14)</f>
        <v>0</v>
      </c>
      <c r="E12" s="23">
        <f>SUM(C12:D12)</f>
        <v>0</v>
      </c>
      <c r="F12" s="23"/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0</v>
      </c>
      <c r="D13" s="23">
        <v>0</v>
      </c>
      <c r="E13" s="23">
        <f>SUM(C13:D13)</f>
        <v>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/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0</v>
      </c>
      <c r="D16" s="53">
        <f>D10+D12</f>
        <v>0</v>
      </c>
      <c r="E16" s="53">
        <f>E10+E12</f>
        <v>0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8.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3100</v>
      </c>
      <c r="D25" s="76">
        <f>+'РАЗХОДИ ПО КМЕТСТВА'!AF15</f>
        <v>3617.83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3100</v>
      </c>
      <c r="P25" s="86">
        <f>D25+F25+H25+L25+N25</f>
        <v>3617.83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595.82</v>
      </c>
      <c r="D31" s="30">
        <f>+'РАЗХОДИ ПО КМЕТСТВА'!AE15</f>
        <v>695.3469259999999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595.82</v>
      </c>
      <c r="P31" s="86">
        <f t="shared" si="1"/>
        <v>695.3469259999999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КМЕТСТВА'!F15+'РАЗХОДИ ПО КМЕТСТВА'!G15</f>
        <v>42.05</v>
      </c>
      <c r="G38" s="30"/>
      <c r="H38" s="30"/>
      <c r="I38" s="30"/>
      <c r="J38" s="30"/>
      <c r="K38" s="30"/>
      <c r="L38" s="30">
        <f>+'РАЗХОДИ ПО КМЕТСТВА'!R15</f>
        <v>45</v>
      </c>
      <c r="M38" s="30"/>
      <c r="N38" s="30"/>
      <c r="O38" s="33">
        <f t="shared" si="0"/>
        <v>200</v>
      </c>
      <c r="P38" s="86">
        <f t="shared" si="1"/>
        <v>87.05</v>
      </c>
    </row>
    <row r="39" spans="1:16" s="2" customFormat="1" ht="30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КМЕТСТВА'!C15+'РАЗХОДИ ПО КМЕТСТВА'!D15+'РАЗХОДИ ПО КМЕТСТВА'!E15</f>
        <v>769.08</v>
      </c>
      <c r="G39" s="30">
        <v>2510</v>
      </c>
      <c r="H39" s="30">
        <f>+'РАЗХОДИ ПО КМЕТСТВА'!N15</f>
        <v>2520.8</v>
      </c>
      <c r="I39" s="30"/>
      <c r="J39" s="30"/>
      <c r="K39" s="30"/>
      <c r="L39" s="30"/>
      <c r="M39" s="30"/>
      <c r="N39" s="30"/>
      <c r="O39" s="33">
        <f t="shared" si="0"/>
        <v>3550</v>
      </c>
      <c r="P39" s="86">
        <f t="shared" si="1"/>
        <v>3289.88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КМЕТСТВА'!H15+'РАЗХОДИ ПО КМЕТСТВА'!I15+'РАЗХОДИ ПО КМЕТСТВА'!J15+'РАЗХОДИ ПО КМЕТСТВА'!K15</f>
        <v>548.61</v>
      </c>
      <c r="G40" s="30"/>
      <c r="H40" s="30"/>
      <c r="I40" s="30"/>
      <c r="J40" s="30">
        <f>+'РАЗХОДИ ПО КМЕТСТВА'!AD15</f>
        <v>3125.95</v>
      </c>
      <c r="K40" s="23"/>
      <c r="L40" s="23">
        <f>+'РАЗХОДИ ПО КМЕТСТВА'!Q15</f>
        <v>1102.8</v>
      </c>
      <c r="M40" s="30"/>
      <c r="N40" s="30"/>
      <c r="O40" s="33">
        <f t="shared" si="0"/>
        <v>520</v>
      </c>
      <c r="P40" s="86">
        <f>D40+F40+H40+L40+N40+J40</f>
        <v>4777.36</v>
      </c>
    </row>
    <row r="41" spans="1:16" ht="15.75">
      <c r="A41" s="29" t="s">
        <v>31</v>
      </c>
      <c r="B41" s="26" t="s">
        <v>13</v>
      </c>
      <c r="C41" s="30"/>
      <c r="D41" s="30"/>
      <c r="E41" s="24"/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0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/>
      <c r="F42" s="30">
        <f>+'РАЗХОДИ ПО КМЕТСТВА'!M15</f>
        <v>18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0</v>
      </c>
      <c r="P42" s="86">
        <f t="shared" si="1"/>
        <v>18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63">
        <f aca="true" t="shared" si="2" ref="C45:O45">SUM(C25:C44)</f>
        <v>3695.82</v>
      </c>
      <c r="D45" s="63">
        <f t="shared" si="2"/>
        <v>4313.176926</v>
      </c>
      <c r="E45" s="63">
        <f t="shared" si="2"/>
        <v>1760</v>
      </c>
      <c r="F45" s="63">
        <f t="shared" si="2"/>
        <v>1377.74</v>
      </c>
      <c r="G45" s="63">
        <f t="shared" si="2"/>
        <v>2510</v>
      </c>
      <c r="H45" s="63">
        <f t="shared" si="2"/>
        <v>2520.8</v>
      </c>
      <c r="I45" s="63">
        <f t="shared" si="2"/>
        <v>0</v>
      </c>
      <c r="J45" s="63">
        <f t="shared" si="2"/>
        <v>3125.95</v>
      </c>
      <c r="K45" s="63">
        <f t="shared" si="2"/>
        <v>400</v>
      </c>
      <c r="L45" s="63">
        <f t="shared" si="2"/>
        <v>1147.8</v>
      </c>
      <c r="M45" s="63">
        <f t="shared" si="2"/>
        <v>0</v>
      </c>
      <c r="N45" s="63">
        <f t="shared" si="2"/>
        <v>0</v>
      </c>
      <c r="O45" s="38">
        <f t="shared" si="2"/>
        <v>8365.82</v>
      </c>
      <c r="P45" s="38">
        <f>SUM(P25:P44)</f>
        <v>12485.466926000001</v>
      </c>
    </row>
    <row r="46" ht="6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КМЕТСТВА'!AH15-'Мътница '!P45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1.2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8.2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12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C22:F22"/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28">
      <selection activeCell="L40" sqref="L40"/>
    </sheetView>
  </sheetViews>
  <sheetFormatPr defaultColWidth="9.140625" defaultRowHeight="12.75"/>
  <cols>
    <col min="1" max="1" width="38.28125" style="0" customWidth="1"/>
    <col min="2" max="2" width="13.7109375" style="3" customWidth="1"/>
    <col min="3" max="3" width="12.140625" style="8" customWidth="1"/>
    <col min="4" max="4" width="12.8515625" style="8" customWidth="1"/>
    <col min="5" max="5" width="10.57421875" style="8" customWidth="1"/>
    <col min="6" max="6" width="13.28125" style="8" customWidth="1"/>
    <col min="7" max="7" width="11.57421875" style="8" customWidth="1"/>
    <col min="8" max="10" width="13.140625" style="8" customWidth="1"/>
    <col min="11" max="11" width="10.7109375" style="0" customWidth="1"/>
    <col min="12" max="12" width="12.8515625" style="0" customWidth="1"/>
    <col min="13" max="13" width="10.00390625" style="0" customWidth="1"/>
    <col min="14" max="14" width="12.7109375" style="0" customWidth="1"/>
    <col min="15" max="15" width="9.57421875" style="0" bestFit="1" customWidth="1"/>
    <col min="16" max="16" width="13.140625" style="0" customWidth="1"/>
    <col min="20" max="20" width="11.57421875" style="0" bestFit="1" customWidth="1"/>
  </cols>
  <sheetData>
    <row r="1" ht="31.5" customHeight="1">
      <c r="A1" s="56"/>
    </row>
    <row r="2" spans="1:15" ht="15.75">
      <c r="A2" s="139" t="s">
        <v>82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8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9.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1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/>
      <c r="O8" s="9"/>
    </row>
    <row r="9" spans="1:15" ht="34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0.5</v>
      </c>
      <c r="O9" s="9"/>
    </row>
    <row r="10" spans="1:15" ht="15.75">
      <c r="A10" s="11" t="s">
        <v>46</v>
      </c>
      <c r="B10" s="4" t="s">
        <v>47</v>
      </c>
      <c r="C10" s="23">
        <v>0</v>
      </c>
      <c r="D10" s="23">
        <v>0</v>
      </c>
      <c r="E10" s="23">
        <f>SUM(C10:D10)</f>
        <v>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0</v>
      </c>
      <c r="D12" s="23">
        <f>SUM(D13:D14)</f>
        <v>0</v>
      </c>
      <c r="E12" s="23">
        <f>SUM(C12:D12)</f>
        <v>0</v>
      </c>
      <c r="F12" s="23"/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0</v>
      </c>
      <c r="D13" s="23">
        <v>0</v>
      </c>
      <c r="E13" s="23">
        <f>SUM(C13:D13)</f>
        <v>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/>
      <c r="C15" s="23"/>
      <c r="D15" s="23"/>
      <c r="E15" s="23"/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0</v>
      </c>
      <c r="D16" s="53">
        <f>D10+D12</f>
        <v>0</v>
      </c>
      <c r="E16" s="53">
        <f>E10+E12</f>
        <v>0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9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0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0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33">
        <v>3180</v>
      </c>
      <c r="D25" s="33">
        <f>+'РАЗХОДИ ПО КМЕТСТВА'!AF14</f>
        <v>3950.83</v>
      </c>
      <c r="E25" s="33"/>
      <c r="F25" s="77"/>
      <c r="G25" s="33"/>
      <c r="H25" s="77"/>
      <c r="I25" s="77"/>
      <c r="J25" s="77"/>
      <c r="K25" s="33"/>
      <c r="L25" s="77"/>
      <c r="M25" s="33"/>
      <c r="N25" s="77"/>
      <c r="O25" s="33">
        <f>C25+E25+G25+K25+M25</f>
        <v>3180</v>
      </c>
      <c r="P25" s="86">
        <f>D25+F25+H25+L25+N25</f>
        <v>3950.83</v>
      </c>
    </row>
    <row r="26" spans="1:16" s="2" customFormat="1" ht="30">
      <c r="A26" s="29" t="s">
        <v>24</v>
      </c>
      <c r="B26" s="26" t="s">
        <v>25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3"/>
      <c r="D27" s="33"/>
      <c r="E27" s="33"/>
      <c r="F27" s="33"/>
      <c r="G27" s="33"/>
      <c r="H27" s="33"/>
      <c r="I27" s="33"/>
      <c r="J27" s="33"/>
      <c r="K27" s="33">
        <v>400</v>
      </c>
      <c r="L27" s="33"/>
      <c r="M27" s="33"/>
      <c r="N27" s="33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3">
        <f>C25*19.22/100</f>
        <v>611.196</v>
      </c>
      <c r="D31" s="33">
        <f>+'РАЗХОДИ ПО КМЕТСТВА'!AE14</f>
        <v>759.349526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>
        <f t="shared" si="0"/>
        <v>611.196</v>
      </c>
      <c r="P31" s="86">
        <f t="shared" si="1"/>
        <v>759.349526</v>
      </c>
    </row>
    <row r="32" spans="1:16" s="2" customFormat="1" ht="15">
      <c r="A32" s="29" t="s">
        <v>19</v>
      </c>
      <c r="B32" s="26" t="s">
        <v>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3"/>
      <c r="D38" s="33"/>
      <c r="E38" s="33">
        <v>200</v>
      </c>
      <c r="F38" s="33">
        <f>+'РАЗХОДИ ПО КМЕТСТВА'!F14+'РАЗХОДИ ПО КМЕТСТВА'!G14</f>
        <v>0</v>
      </c>
      <c r="G38" s="33"/>
      <c r="H38" s="33"/>
      <c r="I38" s="33"/>
      <c r="J38" s="33"/>
      <c r="K38" s="33"/>
      <c r="L38" s="33">
        <f>+'РАЗХОДИ ПО КМЕТСТВА'!R14</f>
        <v>45</v>
      </c>
      <c r="M38" s="33"/>
      <c r="N38" s="33"/>
      <c r="O38" s="33">
        <f t="shared" si="0"/>
        <v>200</v>
      </c>
      <c r="P38" s="86">
        <f t="shared" si="1"/>
        <v>45</v>
      </c>
    </row>
    <row r="39" spans="1:16" s="2" customFormat="1" ht="33" customHeight="1">
      <c r="A39" s="29" t="s">
        <v>62</v>
      </c>
      <c r="B39" s="26" t="s">
        <v>11</v>
      </c>
      <c r="C39" s="33"/>
      <c r="D39" s="33"/>
      <c r="E39" s="33">
        <v>1040</v>
      </c>
      <c r="F39" s="33">
        <f>+'РАЗХОДИ ПО КМЕТСТВА'!C14+'РАЗХОДИ ПО КМЕТСТВА'!D14+'РАЗХОДИ ПО КМЕТСТВА'!E14</f>
        <v>2204.01</v>
      </c>
      <c r="G39" s="33">
        <v>940</v>
      </c>
      <c r="H39" s="33">
        <f>+'РАЗХОДИ ПО КМЕТСТВА'!N14</f>
        <v>4096.69</v>
      </c>
      <c r="I39" s="33"/>
      <c r="J39" s="33"/>
      <c r="K39" s="33"/>
      <c r="L39" s="33"/>
      <c r="M39" s="33"/>
      <c r="N39" s="33"/>
      <c r="O39" s="33">
        <f t="shared" si="0"/>
        <v>1980</v>
      </c>
      <c r="P39" s="86">
        <f t="shared" si="1"/>
        <v>6300.7</v>
      </c>
    </row>
    <row r="40" spans="1:16" ht="30">
      <c r="A40" s="29" t="s">
        <v>61</v>
      </c>
      <c r="B40" s="26" t="s">
        <v>12</v>
      </c>
      <c r="C40" s="33"/>
      <c r="D40" s="33"/>
      <c r="E40" s="33">
        <v>520</v>
      </c>
      <c r="F40" s="33">
        <f>+'РАЗХОДИ ПО КМЕТСТВА'!H14+'РАЗХОДИ ПО КМЕТСТВА'!I14+'РАЗХОДИ ПО КМЕТСТВА'!J14+'РАЗХОДИ ПО КМЕТСТВА'!K14</f>
        <v>619.13</v>
      </c>
      <c r="G40" s="33"/>
      <c r="H40" s="33"/>
      <c r="I40" s="33"/>
      <c r="J40" s="33">
        <f>+'РАЗХОДИ ПО КМЕТСТВА'!Y14</f>
        <v>26.03</v>
      </c>
      <c r="K40" s="61"/>
      <c r="L40" s="33">
        <f>+'РАЗХОДИ ПО КМЕТСТВА'!Q14</f>
        <v>753</v>
      </c>
      <c r="M40" s="33"/>
      <c r="N40" s="33"/>
      <c r="O40" s="33">
        <f t="shared" si="0"/>
        <v>520</v>
      </c>
      <c r="P40" s="86">
        <f>D40+F40+H40+L40+N40+J40</f>
        <v>1398.16</v>
      </c>
    </row>
    <row r="41" spans="1:16" ht="15.75">
      <c r="A41" s="29" t="s">
        <v>31</v>
      </c>
      <c r="B41" s="26" t="s">
        <v>13</v>
      </c>
      <c r="C41" s="33"/>
      <c r="D41" s="33"/>
      <c r="E41" s="62"/>
      <c r="F41" s="62">
        <f>+'РАЗХОДИ ПО КМЕТСТВА'!AA14</f>
        <v>3154.58</v>
      </c>
      <c r="G41" s="62"/>
      <c r="H41" s="62"/>
      <c r="I41" s="62"/>
      <c r="J41" s="62"/>
      <c r="K41" s="61"/>
      <c r="L41" s="61"/>
      <c r="M41" s="61"/>
      <c r="N41" s="61"/>
      <c r="O41" s="33">
        <f t="shared" si="0"/>
        <v>0</v>
      </c>
      <c r="P41" s="86">
        <f t="shared" si="1"/>
        <v>3154.58</v>
      </c>
    </row>
    <row r="42" spans="1:16" ht="15">
      <c r="A42" s="29" t="s">
        <v>65</v>
      </c>
      <c r="B42" s="26" t="s">
        <v>15</v>
      </c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33">
        <f t="shared" si="0"/>
        <v>0</v>
      </c>
      <c r="P42" s="86">
        <f t="shared" si="1"/>
        <v>0</v>
      </c>
    </row>
    <row r="43" spans="1:16" ht="15">
      <c r="A43" s="29" t="s">
        <v>2</v>
      </c>
      <c r="B43" s="26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63">
        <f aca="true" t="shared" si="2" ref="C45:O45">SUM(C25:C44)</f>
        <v>3791.196</v>
      </c>
      <c r="D45" s="63">
        <f t="shared" si="2"/>
        <v>4710.179526</v>
      </c>
      <c r="E45" s="63">
        <f t="shared" si="2"/>
        <v>1760</v>
      </c>
      <c r="F45" s="63">
        <f t="shared" si="2"/>
        <v>5977.72</v>
      </c>
      <c r="G45" s="63">
        <f t="shared" si="2"/>
        <v>940</v>
      </c>
      <c r="H45" s="63">
        <f t="shared" si="2"/>
        <v>4096.69</v>
      </c>
      <c r="I45" s="63">
        <f t="shared" si="2"/>
        <v>0</v>
      </c>
      <c r="J45" s="63">
        <f t="shared" si="2"/>
        <v>26.03</v>
      </c>
      <c r="K45" s="63">
        <f t="shared" si="2"/>
        <v>400</v>
      </c>
      <c r="L45" s="63">
        <f t="shared" si="2"/>
        <v>798</v>
      </c>
      <c r="M45" s="63">
        <f t="shared" si="2"/>
        <v>0</v>
      </c>
      <c r="N45" s="63">
        <f t="shared" si="2"/>
        <v>0</v>
      </c>
      <c r="O45" s="38">
        <f t="shared" si="2"/>
        <v>6891.196</v>
      </c>
      <c r="P45" s="38">
        <f>SUM(P25:P44)</f>
        <v>15608.619526</v>
      </c>
    </row>
    <row r="47" spans="1:16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  <c r="P47" s="92">
        <f>'РАЗХОДИ ПО КМЕТСТВА'!AH14-Макак!P45</f>
        <v>0</v>
      </c>
    </row>
    <row r="48" spans="1:15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15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15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C22:F22"/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32">
      <selection activeCell="D32" sqref="D32"/>
    </sheetView>
  </sheetViews>
  <sheetFormatPr defaultColWidth="9.140625" defaultRowHeight="12.75"/>
  <cols>
    <col min="1" max="1" width="38.57421875" style="0" customWidth="1"/>
    <col min="2" max="2" width="13.7109375" style="3" customWidth="1"/>
    <col min="3" max="3" width="11.8515625" style="8" customWidth="1"/>
    <col min="4" max="4" width="13.28125" style="8" customWidth="1"/>
    <col min="5" max="5" width="11.28125" style="8" customWidth="1"/>
    <col min="6" max="6" width="12.57421875" style="8" customWidth="1"/>
    <col min="7" max="7" width="11.421875" style="8" customWidth="1"/>
    <col min="8" max="10" width="12.421875" style="8" customWidth="1"/>
    <col min="11" max="11" width="10.7109375" style="0" customWidth="1"/>
    <col min="12" max="12" width="12.7109375" style="0" customWidth="1"/>
    <col min="13" max="13" width="11.7109375" style="0" customWidth="1"/>
    <col min="14" max="14" width="12.42187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24.75" customHeight="1">
      <c r="A1" s="56"/>
    </row>
    <row r="2" spans="1:15" ht="15.75">
      <c r="A2" s="139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8.25" customHeight="1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6.7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543</v>
      </c>
      <c r="O8" s="9"/>
    </row>
    <row r="9" spans="1:15" ht="20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13006</v>
      </c>
      <c r="D10" s="23">
        <v>9223</v>
      </c>
      <c r="E10" s="23">
        <f>SUM(C10:D10)</f>
        <v>22229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25341</v>
      </c>
      <c r="D12" s="23">
        <f>SUM(D13:D14)</f>
        <v>12057</v>
      </c>
      <c r="E12" s="23">
        <f>SUM(C12:D12)</f>
        <v>37398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25341</v>
      </c>
      <c r="D13" s="23">
        <v>12057</v>
      </c>
      <c r="E13" s="23">
        <f>SUM(C13:D13)</f>
        <v>37398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20387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38347</v>
      </c>
      <c r="D16" s="53">
        <f>D10+D12</f>
        <v>21280</v>
      </c>
      <c r="E16" s="53">
        <f>E10+E12+E15</f>
        <v>80014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5.2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58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2.2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18576</v>
      </c>
      <c r="D25" s="76">
        <f>+'РАЗХОДИ ПО КМЕТСТВА'!AF32</f>
        <v>20922.81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18576</v>
      </c>
      <c r="P25" s="86">
        <f>D25+F25+H25+L25+N25</f>
        <v>20922.81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3570.3071999999997</v>
      </c>
      <c r="D31" s="30">
        <f>+'РАЗХОДИ ПО КМЕТСТВА'!AE32</f>
        <v>4021.364082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3570.3071999999997</v>
      </c>
      <c r="P31" s="86">
        <f t="shared" si="1"/>
        <v>4021.364082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f>200</f>
        <v>200</v>
      </c>
      <c r="F38" s="30">
        <f>+'РАЗХОДИ ПО КМЕТСТВА'!F32+'РАЗХОДИ ПО КМЕТСТВА'!G32</f>
        <v>663.62</v>
      </c>
      <c r="G38" s="30"/>
      <c r="H38" s="30"/>
      <c r="I38" s="30"/>
      <c r="J38" s="30"/>
      <c r="K38" s="30"/>
      <c r="L38" s="30">
        <f>+'РАЗХОДИ ПО КМЕТСТВА'!R32</f>
        <v>45</v>
      </c>
      <c r="M38" s="30"/>
      <c r="N38" s="30"/>
      <c r="O38" s="33">
        <f t="shared" si="0"/>
        <v>200</v>
      </c>
      <c r="P38" s="86">
        <f t="shared" si="1"/>
        <v>708.62</v>
      </c>
    </row>
    <row r="39" spans="1:16" s="2" customFormat="1" ht="30.7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КМЕТСТВА'!C32+'РАЗХОДИ ПО КМЕТСТВА'!D32+'РАЗХОДИ ПО КМЕТСТВА'!E32</f>
        <v>1904.03</v>
      </c>
      <c r="G39" s="30">
        <v>4831</v>
      </c>
      <c r="H39" s="30">
        <f>+'РАЗХОДИ ПО КМЕТСТВА'!N32</f>
        <v>4552.46</v>
      </c>
      <c r="I39" s="30"/>
      <c r="J39" s="30"/>
      <c r="K39" s="30"/>
      <c r="L39" s="30"/>
      <c r="M39" s="30"/>
      <c r="N39" s="30"/>
      <c r="O39" s="33">
        <f t="shared" si="0"/>
        <v>5871</v>
      </c>
      <c r="P39" s="86">
        <f t="shared" si="1"/>
        <v>6456.49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КМЕТСТВА'!H32+'РАЗХОДИ ПО КМЕТСТВА'!I32+'РАЗХОДИ ПО КМЕТСТВА'!J32+'РАЗХОДИ ПО КМЕТСТВА'!K32</f>
        <v>742.4100000000001</v>
      </c>
      <c r="G40" s="30"/>
      <c r="H40" s="30"/>
      <c r="I40" s="30"/>
      <c r="J40" s="30">
        <f>+'РАЗХОДИ ПО КМЕТСТВА'!Y32+'РАЗХОДИ ПО КМЕТСТВА'!AD32</f>
        <v>7533.08</v>
      </c>
      <c r="K40" s="23"/>
      <c r="L40" s="96">
        <f>+'РАЗХОДИ ПО КМЕТСТВА'!Q32</f>
        <v>2262.72</v>
      </c>
      <c r="M40" s="30">
        <v>18882</v>
      </c>
      <c r="N40" s="30">
        <f>+'РАЗХОДИ ПО КМЕТСТВА'!V32</f>
        <v>18783.47</v>
      </c>
      <c r="O40" s="33">
        <f t="shared" si="0"/>
        <v>19402</v>
      </c>
      <c r="P40" s="86">
        <f>D40+F40+H40+L40+N40+J40</f>
        <v>29321.68</v>
      </c>
    </row>
    <row r="41" spans="1:16" ht="15.75">
      <c r="A41" s="29" t="s">
        <v>31</v>
      </c>
      <c r="B41" s="26" t="s">
        <v>13</v>
      </c>
      <c r="C41" s="30"/>
      <c r="D41" s="30"/>
      <c r="E41" s="24">
        <v>4681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4681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840</v>
      </c>
      <c r="F42" s="30">
        <f>+'РАЗХОДИ ПО КМЕТСТВА'!M32</f>
        <v>615.67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840</v>
      </c>
      <c r="P42" s="86">
        <f t="shared" si="1"/>
        <v>615.67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22146.3072</v>
      </c>
      <c r="D45" s="54">
        <f t="shared" si="2"/>
        <v>24944.174082</v>
      </c>
      <c r="E45" s="54">
        <f t="shared" si="2"/>
        <v>7281</v>
      </c>
      <c r="F45" s="54">
        <f t="shared" si="2"/>
        <v>3925.7300000000005</v>
      </c>
      <c r="G45" s="54">
        <f t="shared" si="2"/>
        <v>4831</v>
      </c>
      <c r="H45" s="54">
        <f t="shared" si="2"/>
        <v>4552.46</v>
      </c>
      <c r="I45" s="54">
        <f t="shared" si="2"/>
        <v>0</v>
      </c>
      <c r="J45" s="54">
        <f t="shared" si="2"/>
        <v>7533.08</v>
      </c>
      <c r="K45" s="54">
        <f t="shared" si="2"/>
        <v>400</v>
      </c>
      <c r="L45" s="54">
        <f t="shared" si="2"/>
        <v>2307.72</v>
      </c>
      <c r="M45" s="54">
        <f t="shared" si="2"/>
        <v>18882</v>
      </c>
      <c r="N45" s="54">
        <f t="shared" si="2"/>
        <v>18783.47</v>
      </c>
      <c r="O45" s="38">
        <f t="shared" si="2"/>
        <v>53540.307199999996</v>
      </c>
      <c r="P45" s="38">
        <f>SUM(P25:P44)</f>
        <v>62046.634082</v>
      </c>
    </row>
    <row r="46" ht="9.75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КМЕТСТВА'!AH32-Новосел!P45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6.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7.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4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21">
      <selection activeCell="J40" sqref="J40"/>
    </sheetView>
  </sheetViews>
  <sheetFormatPr defaultColWidth="9.140625" defaultRowHeight="12.75"/>
  <cols>
    <col min="1" max="1" width="41.140625" style="0" customWidth="1"/>
    <col min="2" max="2" width="13.7109375" style="3" customWidth="1"/>
    <col min="3" max="3" width="11.8515625" style="8" customWidth="1"/>
    <col min="4" max="4" width="12.8515625" style="8" customWidth="1"/>
    <col min="5" max="5" width="12.140625" style="8" customWidth="1"/>
    <col min="6" max="6" width="12.421875" style="8" customWidth="1"/>
    <col min="7" max="7" width="10.8515625" style="8" customWidth="1"/>
    <col min="8" max="10" width="12.421875" style="8" customWidth="1"/>
    <col min="11" max="11" width="11.7109375" style="0" customWidth="1"/>
    <col min="12" max="12" width="12.8515625" style="0" customWidth="1"/>
    <col min="13" max="13" width="12.421875" style="0" customWidth="1"/>
    <col min="14" max="14" width="11.7109375" style="0" customWidth="1"/>
    <col min="15" max="15" width="10.8515625" style="0" bestFit="1" customWidth="1"/>
    <col min="16" max="16" width="12.7109375" style="0" customWidth="1"/>
    <col min="20" max="20" width="11.57421875" style="0" bestFit="1" customWidth="1"/>
  </cols>
  <sheetData>
    <row r="1" ht="33.75" customHeight="1">
      <c r="A1" s="56"/>
    </row>
    <row r="2" spans="1:15" ht="15.75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.7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4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139</v>
      </c>
      <c r="O8" s="9"/>
    </row>
    <row r="9" spans="1:15" ht="21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3921</v>
      </c>
      <c r="D10" s="23">
        <v>3253</v>
      </c>
      <c r="E10" s="23">
        <f>SUM(C10:D10)</f>
        <v>7174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11113</v>
      </c>
      <c r="D12" s="23">
        <f>SUM(D13:D14)</f>
        <v>7410</v>
      </c>
      <c r="E12" s="23">
        <f>SUM(C12:D12)</f>
        <v>18523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11113</v>
      </c>
      <c r="D13" s="23">
        <v>7410</v>
      </c>
      <c r="E13" s="23">
        <f>SUM(C13:D13)</f>
        <v>18523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1546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15034</v>
      </c>
      <c r="D16" s="53">
        <f>D10+D12</f>
        <v>10663</v>
      </c>
      <c r="E16" s="53">
        <f>E10+E12+E15</f>
        <v>27243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8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 customHeight="1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5.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61.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1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30">
        <v>6720</v>
      </c>
      <c r="D25" s="30">
        <f>+'РАЗХОДИ ПО КМЕТСТВА'!AF11</f>
        <v>7972.26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3">
        <f>C25+E25+G25+K25+M25</f>
        <v>6720</v>
      </c>
      <c r="P25" s="86">
        <f>D25+F25+H25+L25+N25</f>
        <v>7972.26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1291.5839999999998</v>
      </c>
      <c r="D31" s="30">
        <f>+'РАЗХОДИ ПО КМЕТСТВА'!AE11</f>
        <v>1532.268372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1291.5839999999998</v>
      </c>
      <c r="P31" s="86">
        <f t="shared" si="1"/>
        <v>1532.268372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КМЕТСТВА'!F11+'РАЗХОДИ ПО КМЕТСТВА'!G11</f>
        <v>249.6</v>
      </c>
      <c r="G38" s="30"/>
      <c r="H38" s="30"/>
      <c r="I38" s="30"/>
      <c r="J38" s="30"/>
      <c r="K38" s="30"/>
      <c r="L38" s="30">
        <f>+'РАЗХОДИ ПО КМЕТСТВА'!R11</f>
        <v>45</v>
      </c>
      <c r="M38" s="30"/>
      <c r="N38" s="30"/>
      <c r="O38" s="33">
        <f t="shared" si="0"/>
        <v>200</v>
      </c>
      <c r="P38" s="86">
        <f t="shared" si="1"/>
        <v>294.6</v>
      </c>
    </row>
    <row r="39" spans="1:16" s="2" customFormat="1" ht="30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КМЕТСТВА'!C11+'РАЗХОДИ ПО КМЕТСТВА'!D11+'РАЗХОДИ ПО КМЕТСТВА'!E11</f>
        <v>1166.28</v>
      </c>
      <c r="G39" s="30">
        <v>1366</v>
      </c>
      <c r="H39" s="30">
        <f>+'РАЗХОДИ ПО КМЕТСТВА'!N11</f>
        <v>2414.6</v>
      </c>
      <c r="I39" s="30"/>
      <c r="J39" s="30"/>
      <c r="K39" s="30"/>
      <c r="L39" s="30"/>
      <c r="M39" s="30"/>
      <c r="N39" s="30"/>
      <c r="O39" s="33">
        <f t="shared" si="0"/>
        <v>2406</v>
      </c>
      <c r="P39" s="86">
        <f t="shared" si="1"/>
        <v>3580.88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КМЕТСТВА'!H11+'РАЗХОДИ ПО КМЕТСТВА'!I11+'РАЗХОДИ ПО КМЕТСТВА'!J11+'РАЗХОДИ ПО КМЕТСТВА'!K11</f>
        <v>693.91</v>
      </c>
      <c r="G40" s="30"/>
      <c r="H40" s="30"/>
      <c r="I40" s="30"/>
      <c r="J40" s="30">
        <f>+'РАЗХОДИ ПО КМЕТСТВА'!Y11+'РАЗХОДИ ПО КМЕТСТВА'!AD11</f>
        <v>13131.9</v>
      </c>
      <c r="K40" s="23"/>
      <c r="L40" s="96">
        <f>+'РАЗХОДИ ПО КМЕТСТВА'!Q11</f>
        <v>553.2</v>
      </c>
      <c r="M40" s="30">
        <v>3835</v>
      </c>
      <c r="N40" s="30">
        <f>+'РАЗХОДИ ПО КМЕТСТВА'!V11+'РАЗХОДИ ПО КМЕТСТВА'!X11</f>
        <v>10337.130000000001</v>
      </c>
      <c r="O40" s="33">
        <f t="shared" si="0"/>
        <v>4355</v>
      </c>
      <c r="P40" s="86">
        <f>D40+F40+H40+L40+N40+J40</f>
        <v>24716.14</v>
      </c>
    </row>
    <row r="41" spans="1:16" ht="15.75">
      <c r="A41" s="29" t="s">
        <v>31</v>
      </c>
      <c r="B41" s="26" t="s">
        <v>13</v>
      </c>
      <c r="C41" s="30"/>
      <c r="D41" s="30"/>
      <c r="E41" s="24">
        <v>1198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1198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270</v>
      </c>
      <c r="F42" s="30">
        <f>+'РАЗХОДИ ПО КМЕТСТВА'!M11</f>
        <v>261.78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270</v>
      </c>
      <c r="P42" s="86">
        <f t="shared" si="1"/>
        <v>261.78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8011.584</v>
      </c>
      <c r="D45" s="54">
        <f t="shared" si="2"/>
        <v>9504.528372</v>
      </c>
      <c r="E45" s="54">
        <f t="shared" si="2"/>
        <v>3228</v>
      </c>
      <c r="F45" s="54">
        <f t="shared" si="2"/>
        <v>2371.5699999999997</v>
      </c>
      <c r="G45" s="54">
        <f t="shared" si="2"/>
        <v>1366</v>
      </c>
      <c r="H45" s="54">
        <f t="shared" si="2"/>
        <v>2414.6</v>
      </c>
      <c r="I45" s="54">
        <f t="shared" si="2"/>
        <v>0</v>
      </c>
      <c r="J45" s="54">
        <f t="shared" si="2"/>
        <v>13131.9</v>
      </c>
      <c r="K45" s="54">
        <f t="shared" si="2"/>
        <v>400</v>
      </c>
      <c r="L45" s="54">
        <f t="shared" si="2"/>
        <v>598.2</v>
      </c>
      <c r="M45" s="54">
        <f t="shared" si="2"/>
        <v>3835</v>
      </c>
      <c r="N45" s="54">
        <f t="shared" si="2"/>
        <v>10337.130000000001</v>
      </c>
      <c r="O45" s="38">
        <f t="shared" si="2"/>
        <v>16840.584</v>
      </c>
      <c r="P45" s="38">
        <f>SUM(P25:P44)</f>
        <v>38357.928371999995</v>
      </c>
    </row>
    <row r="46" ht="6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КМЕТСТВА'!AH11-Овчарово!P45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6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5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0"/>
      <c r="H57" s="40"/>
      <c r="I57" s="40"/>
      <c r="J57" s="40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0"/>
      <c r="H58" s="40"/>
      <c r="I58" s="40"/>
      <c r="J58" s="40"/>
      <c r="K58" s="27"/>
      <c r="L58" s="27"/>
      <c r="M58" s="27"/>
      <c r="N58" s="27"/>
      <c r="O58" s="27"/>
    </row>
    <row r="59" spans="1:15" ht="12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K23:L23"/>
    <mergeCell ref="O22:P23"/>
    <mergeCell ref="G22:H22"/>
    <mergeCell ref="G23:H23"/>
    <mergeCell ref="M23:N23"/>
    <mergeCell ref="C22:F22"/>
    <mergeCell ref="K22:L22"/>
    <mergeCell ref="M22:N22"/>
    <mergeCell ref="H8:M8"/>
    <mergeCell ref="H9:M9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0">
      <selection activeCell="D32" sqref="D32"/>
    </sheetView>
  </sheetViews>
  <sheetFormatPr defaultColWidth="9.140625" defaultRowHeight="12.75"/>
  <cols>
    <col min="1" max="1" width="41.140625" style="0" customWidth="1"/>
    <col min="2" max="2" width="13.28125" style="3" customWidth="1"/>
    <col min="3" max="3" width="12.57421875" style="8" customWidth="1"/>
    <col min="4" max="4" width="13.28125" style="8" customWidth="1"/>
    <col min="5" max="5" width="11.8515625" style="8" customWidth="1"/>
    <col min="6" max="6" width="12.421875" style="8" customWidth="1"/>
    <col min="7" max="7" width="11.7109375" style="8" customWidth="1"/>
    <col min="8" max="10" width="13.8515625" style="8" customWidth="1"/>
    <col min="11" max="11" width="10.00390625" style="0" customWidth="1"/>
    <col min="12" max="12" width="13.28125" style="0" customWidth="1"/>
    <col min="13" max="13" width="10.7109375" style="0" customWidth="1"/>
    <col min="14" max="14" width="13.14062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42.75" customHeight="1">
      <c r="A1" s="56"/>
    </row>
    <row r="2" spans="1:15" ht="15.75">
      <c r="A2" s="139" t="s">
        <v>85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9" customFormat="1" ht="18.75" customHeight="1">
      <c r="A6" s="13" t="s">
        <v>45</v>
      </c>
      <c r="B6" s="60"/>
      <c r="C6" s="13"/>
      <c r="D6" s="13"/>
      <c r="E6" s="13"/>
      <c r="F6" s="13"/>
      <c r="G6" s="13"/>
      <c r="H6" s="9"/>
      <c r="I6" s="9">
        <v>2018</v>
      </c>
      <c r="J6" s="9"/>
      <c r="K6" s="13"/>
      <c r="L6" s="13"/>
      <c r="M6" s="13"/>
      <c r="N6" s="13"/>
      <c r="O6" s="13"/>
    </row>
    <row r="7" spans="1:15" ht="7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318</v>
      </c>
      <c r="O8" s="9"/>
    </row>
    <row r="9" spans="1:15" ht="24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12210</v>
      </c>
      <c r="D10" s="23">
        <v>20857</v>
      </c>
      <c r="E10" s="23">
        <f>SUM(C10:D10)</f>
        <v>33067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15389</v>
      </c>
      <c r="D12" s="23">
        <f>SUM(D13:D14)</f>
        <v>26601</v>
      </c>
      <c r="E12" s="23">
        <f>SUM(C12:D12)</f>
        <v>41990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15389</v>
      </c>
      <c r="D13" s="23">
        <v>26601</v>
      </c>
      <c r="E13" s="23">
        <f>SUM(C13:D13)</f>
        <v>41990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41330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27599</v>
      </c>
      <c r="D16" s="53">
        <f>D10+D12</f>
        <v>47458</v>
      </c>
      <c r="E16" s="53">
        <f>E10+E12+E15</f>
        <v>116387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8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2.2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1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11785</v>
      </c>
      <c r="D25" s="76">
        <f>+'РАЗХОДИ ПО КМЕТСТВА'!AF19</f>
        <v>13365.22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11785</v>
      </c>
      <c r="P25" s="86">
        <f>D25+F25+H25+L25+N25</f>
        <v>13365.22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2265.0769999999998</v>
      </c>
      <c r="D31" s="30">
        <f>+'РАЗХОДИ ПО КМЕТСТВА'!AE19</f>
        <v>2568.795284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2265.0769999999998</v>
      </c>
      <c r="P31" s="86">
        <f t="shared" si="1"/>
        <v>2568.795284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КМЕТСТВА'!F19+'РАЗХОДИ ПО КМЕТСТВА'!G19</f>
        <v>295.1</v>
      </c>
      <c r="G38" s="30"/>
      <c r="H38" s="30"/>
      <c r="I38" s="30"/>
      <c r="J38" s="30"/>
      <c r="K38" s="30"/>
      <c r="L38" s="30">
        <f>+'РАЗХОДИ ПО КМЕТСТВА'!R19</f>
        <v>27</v>
      </c>
      <c r="M38" s="30"/>
      <c r="N38" s="30"/>
      <c r="O38" s="33">
        <f t="shared" si="0"/>
        <v>200</v>
      </c>
      <c r="P38" s="86">
        <f t="shared" si="1"/>
        <v>322.1</v>
      </c>
    </row>
    <row r="39" spans="1:16" s="2" customFormat="1" ht="30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КМЕТСТВА'!C19+'РАЗХОДИ ПО КМЕТСТВА'!D19+'РАЗХОДИ ПО КМЕТСТВА'!E19</f>
        <v>1569</v>
      </c>
      <c r="G39" s="30">
        <v>3500</v>
      </c>
      <c r="H39" s="30">
        <f>+'РАЗХОДИ ПО КМЕТСТВА'!N19</f>
        <v>3380.2</v>
      </c>
      <c r="I39" s="30"/>
      <c r="J39" s="30"/>
      <c r="K39" s="30"/>
      <c r="L39" s="30"/>
      <c r="M39" s="30"/>
      <c r="N39" s="30"/>
      <c r="O39" s="33">
        <f t="shared" si="0"/>
        <v>4540</v>
      </c>
      <c r="P39" s="86">
        <f t="shared" si="1"/>
        <v>4949.2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КМЕТСТВА'!H19+'РАЗХОДИ ПО КМЕТСТВА'!I19+'РАЗХОДИ ПО КМЕТСТВА'!J19+'РАЗХОДИ ПО КМЕТСТВА'!K19</f>
        <v>708.84</v>
      </c>
      <c r="G40" s="30"/>
      <c r="H40" s="30"/>
      <c r="I40" s="30"/>
      <c r="J40" s="30">
        <f>+'РАЗХОДИ ПО КМЕТСТВА'!Y19</f>
        <v>490.51</v>
      </c>
      <c r="K40" s="23"/>
      <c r="L40" s="96">
        <f>+'РАЗХОДИ ПО КМЕТСТВА'!Q19</f>
        <v>953.4</v>
      </c>
      <c r="M40" s="30">
        <v>15101</v>
      </c>
      <c r="N40" s="30">
        <f>+'РАЗХОДИ ПО КМЕТСТВА'!V19</f>
        <v>21135.5</v>
      </c>
      <c r="O40" s="33">
        <f t="shared" si="0"/>
        <v>15621</v>
      </c>
      <c r="P40" s="86">
        <f>D40+F40+H40+L40+N40+J40</f>
        <v>23288.25</v>
      </c>
    </row>
    <row r="41" spans="1:16" ht="15.75">
      <c r="A41" s="29" t="s">
        <v>31</v>
      </c>
      <c r="B41" s="26" t="s">
        <v>13</v>
      </c>
      <c r="C41" s="30"/>
      <c r="D41" s="30"/>
      <c r="E41" s="24">
        <v>2741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2741</v>
      </c>
      <c r="P41" s="86">
        <f t="shared" si="1"/>
        <v>0</v>
      </c>
    </row>
    <row r="42" spans="1:16" ht="15">
      <c r="A42" s="29" t="s">
        <v>33</v>
      </c>
      <c r="B42" s="26" t="s">
        <v>15</v>
      </c>
      <c r="C42" s="30"/>
      <c r="D42" s="30"/>
      <c r="E42" s="30">
        <v>220</v>
      </c>
      <c r="F42" s="30">
        <f>+'РАЗХОДИ ПО КМЕТСТВА'!M19</f>
        <v>180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220</v>
      </c>
      <c r="P42" s="86">
        <f t="shared" si="1"/>
        <v>180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14050.077</v>
      </c>
      <c r="D45" s="54">
        <f t="shared" si="2"/>
        <v>15934.015284</v>
      </c>
      <c r="E45" s="54">
        <f t="shared" si="2"/>
        <v>4721</v>
      </c>
      <c r="F45" s="54">
        <f t="shared" si="2"/>
        <v>2752.94</v>
      </c>
      <c r="G45" s="54">
        <f t="shared" si="2"/>
        <v>3500</v>
      </c>
      <c r="H45" s="54">
        <f t="shared" si="2"/>
        <v>3380.2</v>
      </c>
      <c r="I45" s="54">
        <f t="shared" si="2"/>
        <v>0</v>
      </c>
      <c r="J45" s="54">
        <f t="shared" si="2"/>
        <v>490.51</v>
      </c>
      <c r="K45" s="54">
        <f t="shared" si="2"/>
        <v>400</v>
      </c>
      <c r="L45" s="54">
        <f t="shared" si="2"/>
        <v>980.4</v>
      </c>
      <c r="M45" s="54">
        <f t="shared" si="2"/>
        <v>15101</v>
      </c>
      <c r="N45" s="54">
        <f t="shared" si="2"/>
        <v>21135.5</v>
      </c>
      <c r="O45" s="38">
        <f t="shared" si="2"/>
        <v>37772.077</v>
      </c>
      <c r="P45" s="38">
        <f>SUM(P25:P44)</f>
        <v>44673.565284</v>
      </c>
    </row>
    <row r="46" ht="7.5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КМЕТСТВА'!AH19-'Панайот Волов'!P45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3.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9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12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3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1.25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32">
      <selection activeCell="D32" sqref="D32"/>
    </sheetView>
  </sheetViews>
  <sheetFormatPr defaultColWidth="9.140625" defaultRowHeight="12.75"/>
  <cols>
    <col min="1" max="1" width="41.8515625" style="0" customWidth="1"/>
    <col min="2" max="2" width="13.7109375" style="3" customWidth="1"/>
    <col min="3" max="3" width="12.28125" style="8" customWidth="1"/>
    <col min="4" max="4" width="13.421875" style="8" customWidth="1"/>
    <col min="5" max="5" width="10.57421875" style="8" customWidth="1"/>
    <col min="6" max="6" width="14.57421875" style="8" customWidth="1"/>
    <col min="7" max="7" width="12.140625" style="8" customWidth="1"/>
    <col min="8" max="10" width="12.7109375" style="8" customWidth="1"/>
    <col min="11" max="11" width="11.140625" style="0" customWidth="1"/>
    <col min="12" max="13" width="12.421875" style="0" customWidth="1"/>
    <col min="14" max="14" width="13.0039062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34.5" customHeight="1">
      <c r="A1" s="56"/>
    </row>
    <row r="2" spans="1:15" ht="15.75">
      <c r="A2" s="139" t="s">
        <v>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6.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11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269</v>
      </c>
      <c r="O8" s="9"/>
    </row>
    <row r="9" spans="1:15" ht="27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13803</v>
      </c>
      <c r="D10" s="23">
        <v>20932</v>
      </c>
      <c r="E10" s="23">
        <f>SUM(C10:D10)</f>
        <v>34735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7550</v>
      </c>
      <c r="D12" s="23">
        <f>SUM(D13:D14)</f>
        <v>7302</v>
      </c>
      <c r="E12" s="23">
        <f>SUM(C12:D12)</f>
        <v>14852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7550</v>
      </c>
      <c r="D13" s="23">
        <v>7302</v>
      </c>
      <c r="E13" s="23">
        <f>SUM(C13:D13)</f>
        <v>14852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1153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21353</v>
      </c>
      <c r="D16" s="53">
        <f>D10+D12</f>
        <v>28234</v>
      </c>
      <c r="E16" s="53">
        <f>E10+E12+E15</f>
        <v>50740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0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7.2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8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9912</v>
      </c>
      <c r="D25" s="76">
        <f>+'РАЗХОДИ ПО КМЕТСТВА'!AF20</f>
        <v>11444.28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9912</v>
      </c>
      <c r="P25" s="86">
        <f>D25+F25+H25+L25+N25</f>
        <v>11444.28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15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1905.0864</v>
      </c>
      <c r="D31" s="30">
        <f>+'РАЗХОДИ ПО КМЕТСТВА'!AE20</f>
        <v>2199.590616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1905.0864</v>
      </c>
      <c r="P31" s="86">
        <f t="shared" si="1"/>
        <v>2199.590616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КМЕТСТВА'!F20+'РАЗХОДИ ПО КМЕТСТВА'!G20</f>
        <v>418.62</v>
      </c>
      <c r="G38" s="30"/>
      <c r="H38" s="30"/>
      <c r="I38" s="30"/>
      <c r="J38" s="30"/>
      <c r="K38" s="30"/>
      <c r="L38" s="30">
        <f>+'РАЗХОДИ ПО КМЕТСТВА'!R20</f>
        <v>45</v>
      </c>
      <c r="M38" s="30"/>
      <c r="N38" s="30"/>
      <c r="O38" s="33">
        <f t="shared" si="0"/>
        <v>200</v>
      </c>
      <c r="P38" s="86">
        <f t="shared" si="1"/>
        <v>463.62</v>
      </c>
    </row>
    <row r="39" spans="1:16" s="2" customFormat="1" ht="30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КМЕТСТВА'!C20+'РАЗХОДИ ПО КМЕТСТВА'!D20+'РАЗХОДИ ПО КМЕТСТВА'!E20</f>
        <v>4933.36</v>
      </c>
      <c r="G39" s="30">
        <v>3046</v>
      </c>
      <c r="H39" s="30">
        <f>+'РАЗХОДИ ПО КМЕТСТВА'!N20</f>
        <v>3263.45</v>
      </c>
      <c r="I39" s="30"/>
      <c r="J39" s="30"/>
      <c r="K39" s="30"/>
      <c r="L39" s="30"/>
      <c r="M39" s="30"/>
      <c r="N39" s="30"/>
      <c r="O39" s="33">
        <f t="shared" si="0"/>
        <v>4086</v>
      </c>
      <c r="P39" s="86">
        <f t="shared" si="1"/>
        <v>8196.81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КМЕТСТВА'!H20+'РАЗХОДИ ПО КМЕТСТВА'!I20+'РАЗХОДИ ПО КМЕТСТВА'!J20+'РАЗХОДИ ПО КМЕТСТВА'!K20</f>
        <v>735.64</v>
      </c>
      <c r="G40" s="30"/>
      <c r="H40" s="30"/>
      <c r="I40" s="30"/>
      <c r="J40" s="30">
        <f>+'РАЗХОДИ ПО КМЕТСТВА'!Y20</f>
        <v>1115.78</v>
      </c>
      <c r="K40" s="23"/>
      <c r="L40" s="96">
        <f>+'РАЗХОДИ ПО КМЕТСТВА'!Q20</f>
        <v>924.6</v>
      </c>
      <c r="M40" s="30">
        <v>18737</v>
      </c>
      <c r="N40" s="30">
        <f>+'РАЗХОДИ ПО КМЕТСТВА'!V20</f>
        <v>17219.079999999998</v>
      </c>
      <c r="O40" s="33">
        <f t="shared" si="0"/>
        <v>19257</v>
      </c>
      <c r="P40" s="86">
        <f>D40+F40+H40+L40+N40+J40</f>
        <v>19995.1</v>
      </c>
    </row>
    <row r="41" spans="1:16" ht="15.75">
      <c r="A41" s="29" t="s">
        <v>31</v>
      </c>
      <c r="B41" s="26" t="s">
        <v>13</v>
      </c>
      <c r="C41" s="30"/>
      <c r="D41" s="30"/>
      <c r="E41" s="24">
        <v>2319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2319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340</v>
      </c>
      <c r="F42" s="30">
        <f>+'РАЗХОДИ ПО КМЕТСТВА'!M20</f>
        <v>390.94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340</v>
      </c>
      <c r="P42" s="86">
        <f t="shared" si="1"/>
        <v>390.94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11817.0864</v>
      </c>
      <c r="D45" s="54">
        <f t="shared" si="2"/>
        <v>13643.870616</v>
      </c>
      <c r="E45" s="54">
        <f t="shared" si="2"/>
        <v>4419</v>
      </c>
      <c r="F45" s="54">
        <f t="shared" si="2"/>
        <v>6478.5599999999995</v>
      </c>
      <c r="G45" s="54">
        <f t="shared" si="2"/>
        <v>3046</v>
      </c>
      <c r="H45" s="54">
        <f t="shared" si="2"/>
        <v>3263.45</v>
      </c>
      <c r="I45" s="54">
        <f t="shared" si="2"/>
        <v>0</v>
      </c>
      <c r="J45" s="54">
        <f t="shared" si="2"/>
        <v>1115.78</v>
      </c>
      <c r="K45" s="54">
        <f t="shared" si="2"/>
        <v>400</v>
      </c>
      <c r="L45" s="54">
        <f t="shared" si="2"/>
        <v>969.6</v>
      </c>
      <c r="M45" s="54">
        <f t="shared" si="2"/>
        <v>18737</v>
      </c>
      <c r="N45" s="54">
        <f t="shared" si="2"/>
        <v>17219.079999999998</v>
      </c>
      <c r="O45" s="38">
        <f t="shared" si="2"/>
        <v>38419.0864</v>
      </c>
      <c r="P45" s="38">
        <f>SUM(P25:P44)</f>
        <v>42690.340616</v>
      </c>
    </row>
    <row r="46" ht="7.5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КМЕТСТВА'!AH20-'Радко Димитриево'!P45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9.7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9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6.7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C22:F22"/>
    <mergeCell ref="G22:H22"/>
    <mergeCell ref="K22:L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C36">
      <selection activeCell="D32" sqref="D32"/>
    </sheetView>
  </sheetViews>
  <sheetFormatPr defaultColWidth="9.140625" defaultRowHeight="12.75"/>
  <cols>
    <col min="1" max="1" width="39.8515625" style="0" customWidth="1"/>
    <col min="2" max="2" width="13.7109375" style="3" customWidth="1"/>
    <col min="3" max="3" width="12.7109375" style="8" customWidth="1"/>
    <col min="4" max="4" width="13.57421875" style="8" customWidth="1"/>
    <col min="5" max="5" width="12.140625" style="8" customWidth="1"/>
    <col min="6" max="6" width="12.8515625" style="8" customWidth="1"/>
    <col min="7" max="7" width="11.28125" style="8" customWidth="1"/>
    <col min="8" max="10" width="13.28125" style="8" customWidth="1"/>
    <col min="11" max="11" width="11.8515625" style="0" customWidth="1"/>
    <col min="12" max="12" width="12.57421875" style="0" customWidth="1"/>
    <col min="13" max="13" width="10.7109375" style="0" customWidth="1"/>
    <col min="14" max="14" width="13.140625" style="0" customWidth="1"/>
    <col min="15" max="15" width="12.140625" style="0" bestFit="1" customWidth="1"/>
    <col min="16" max="16" width="13.14062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11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796</v>
      </c>
      <c r="O8" s="9"/>
    </row>
    <row r="9" spans="1:15" ht="19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28309</v>
      </c>
      <c r="D10" s="23">
        <v>16571</v>
      </c>
      <c r="E10" s="23">
        <f>SUM(C10:D10)</f>
        <v>44880</v>
      </c>
      <c r="F10" s="23">
        <f>10680.63/2</f>
        <v>5340.315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26041</v>
      </c>
      <c r="D12" s="23">
        <f>SUM(D13:D14)</f>
        <v>16443</v>
      </c>
      <c r="E12" s="23">
        <f>SUM(C12:D12)</f>
        <v>42484</v>
      </c>
      <c r="F12" s="23">
        <f>SUM(F13:F14)</f>
        <v>5473.12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26041</v>
      </c>
      <c r="D13" s="23">
        <v>16443</v>
      </c>
      <c r="E13" s="23">
        <f>SUM(C13:D13)</f>
        <v>42484</v>
      </c>
      <c r="F13" s="23">
        <f>10946.24/2</f>
        <v>5473.12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17047</v>
      </c>
      <c r="F15" s="23">
        <v>8000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54350</v>
      </c>
      <c r="D16" s="53">
        <f>D10+D12</f>
        <v>33014</v>
      </c>
      <c r="E16" s="53">
        <f>E10+E12+E15</f>
        <v>104411</v>
      </c>
      <c r="F16" s="53">
        <f>F10+F12</f>
        <v>10813.435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9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1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9.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8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18864</v>
      </c>
      <c r="D25" s="76">
        <f>+'РАЗХОДИ ПО КМЕТСТВА'!AF33</f>
        <v>21453.95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0">
        <f>C25+E25+G25+K25+M25</f>
        <v>18864</v>
      </c>
      <c r="P25" s="86">
        <f>D25+F25+H25+L25+N25</f>
        <v>21453.95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0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3625.6607999999997</v>
      </c>
      <c r="D31" s="30">
        <f>+'РАЗХОДИ ПО КМЕТСТВА'!AE33</f>
        <v>4123.449189999999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0"/>
        <v>3625.6607999999997</v>
      </c>
      <c r="P31" s="86">
        <f t="shared" si="1"/>
        <v>4123.449189999999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КМЕТСТВА'!F33+'РАЗХОДИ ПО КМЕТСТВА'!G33</f>
        <v>1492.8999999999999</v>
      </c>
      <c r="G38" s="30"/>
      <c r="H38" s="30"/>
      <c r="I38" s="30"/>
      <c r="J38" s="30"/>
      <c r="K38" s="30"/>
      <c r="L38" s="30">
        <f>+'РАЗХОДИ ПО КМЕТСТВА'!R33</f>
        <v>45</v>
      </c>
      <c r="M38" s="30"/>
      <c r="N38" s="30"/>
      <c r="O38" s="30">
        <f t="shared" si="0"/>
        <v>200</v>
      </c>
      <c r="P38" s="86">
        <f t="shared" si="1"/>
        <v>1537.8999999999999</v>
      </c>
    </row>
    <row r="39" spans="1:16" s="2" customFormat="1" ht="30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КМЕТСТВА'!C33+'РАЗХОДИ ПО КМЕТСТВА'!D33+'РАЗХОДИ ПО КМЕТСТВА'!E33</f>
        <v>6522.5599999999995</v>
      </c>
      <c r="G39" s="30">
        <v>5798</v>
      </c>
      <c r="H39" s="30">
        <f>+'РАЗХОДИ ПО КМЕТСТВА'!N33</f>
        <v>4860.12</v>
      </c>
      <c r="I39" s="30"/>
      <c r="J39" s="30"/>
      <c r="K39" s="30"/>
      <c r="L39" s="30"/>
      <c r="M39" s="30"/>
      <c r="N39" s="30"/>
      <c r="O39" s="30">
        <f t="shared" si="0"/>
        <v>6838</v>
      </c>
      <c r="P39" s="86">
        <f t="shared" si="1"/>
        <v>11382.68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КМЕТСТВА'!H33+'РАЗХОДИ ПО КМЕТСТВА'!I33+'РАЗХОДИ ПО КМЕТСТВА'!J33+'РАЗХОДИ ПО КМЕТСТВА'!K33</f>
        <v>898.81</v>
      </c>
      <c r="G40" s="30"/>
      <c r="H40" s="30"/>
      <c r="I40" s="30"/>
      <c r="J40" s="30">
        <f>+'РАЗХОДИ ПО КМЕТСТВА'!Y33+'РАЗХОДИ ПО КМЕТСТВА'!AD33</f>
        <v>13524.84</v>
      </c>
      <c r="K40" s="23"/>
      <c r="L40" s="96">
        <f>+'РАЗХОДИ ПО КМЕТСТВА'!Q33</f>
        <v>2200.68</v>
      </c>
      <c r="M40" s="30">
        <v>29112</v>
      </c>
      <c r="N40" s="30">
        <f>+'РАЗХОДИ ПО КМЕТСТВА'!V33+'РАЗХОДИ ПО КМЕТСТВА'!X33</f>
        <v>24800.680000000004</v>
      </c>
      <c r="O40" s="30">
        <f t="shared" si="0"/>
        <v>29632</v>
      </c>
      <c r="P40" s="86">
        <f>D40+F40+H40+L40+N40+J40</f>
        <v>41425.01000000001</v>
      </c>
    </row>
    <row r="41" spans="1:16" ht="15.75">
      <c r="A41" s="29" t="s">
        <v>31</v>
      </c>
      <c r="B41" s="26" t="s">
        <v>13</v>
      </c>
      <c r="C41" s="30"/>
      <c r="D41" s="30"/>
      <c r="E41" s="24">
        <v>6862</v>
      </c>
      <c r="F41" s="24"/>
      <c r="G41" s="24"/>
      <c r="H41" s="24"/>
      <c r="I41" s="24"/>
      <c r="J41" s="24"/>
      <c r="K41" s="23"/>
      <c r="L41" s="23"/>
      <c r="M41" s="23"/>
      <c r="N41" s="23"/>
      <c r="O41" s="30">
        <f t="shared" si="0"/>
        <v>6862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650</v>
      </c>
      <c r="F42" s="30">
        <f>+'РАЗХОДИ ПО КМЕТСТВА'!M33</f>
        <v>466</v>
      </c>
      <c r="G42" s="30"/>
      <c r="H42" s="30"/>
      <c r="I42" s="30"/>
      <c r="J42" s="30"/>
      <c r="K42" s="23"/>
      <c r="L42" s="23"/>
      <c r="M42" s="23"/>
      <c r="N42" s="23"/>
      <c r="O42" s="30">
        <f t="shared" si="0"/>
        <v>650</v>
      </c>
      <c r="P42" s="86">
        <f t="shared" si="1"/>
        <v>466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0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0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22489.660799999998</v>
      </c>
      <c r="D45" s="54">
        <f t="shared" si="2"/>
        <v>25577.39919</v>
      </c>
      <c r="E45" s="54">
        <f t="shared" si="2"/>
        <v>9272</v>
      </c>
      <c r="F45" s="54">
        <f t="shared" si="2"/>
        <v>9380.269999999999</v>
      </c>
      <c r="G45" s="54">
        <f t="shared" si="2"/>
        <v>5798</v>
      </c>
      <c r="H45" s="54">
        <f t="shared" si="2"/>
        <v>4860.12</v>
      </c>
      <c r="I45" s="54">
        <f t="shared" si="2"/>
        <v>0</v>
      </c>
      <c r="J45" s="54">
        <f t="shared" si="2"/>
        <v>13524.84</v>
      </c>
      <c r="K45" s="54">
        <f t="shared" si="2"/>
        <v>400</v>
      </c>
      <c r="L45" s="54">
        <f t="shared" si="2"/>
        <v>2245.68</v>
      </c>
      <c r="M45" s="54">
        <f t="shared" si="2"/>
        <v>29112</v>
      </c>
      <c r="N45" s="54">
        <f t="shared" si="2"/>
        <v>24800.680000000004</v>
      </c>
      <c r="O45" s="53">
        <f t="shared" si="2"/>
        <v>67071.6608</v>
      </c>
      <c r="P45" s="53">
        <f>SUM(P25:P44)</f>
        <v>80388.98919000001</v>
      </c>
    </row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108">
        <f>D31-D32-D34-D35</f>
        <v>4123.449189999999</v>
      </c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КМЕТСТВА'!AH33-P45</f>
        <v>0</v>
      </c>
    </row>
    <row r="49" spans="1:16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  <c r="P49" s="92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9.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7.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9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6.7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9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30">
      <selection activeCell="J40" sqref="J40"/>
    </sheetView>
  </sheetViews>
  <sheetFormatPr defaultColWidth="9.140625" defaultRowHeight="12.75"/>
  <cols>
    <col min="1" max="1" width="40.57421875" style="0" customWidth="1"/>
    <col min="2" max="2" width="13.7109375" style="3" customWidth="1"/>
    <col min="3" max="3" width="11.57421875" style="8" customWidth="1"/>
    <col min="4" max="4" width="13.7109375" style="8" customWidth="1"/>
    <col min="5" max="5" width="10.8515625" style="8" customWidth="1"/>
    <col min="6" max="6" width="12.57421875" style="8" customWidth="1"/>
    <col min="7" max="7" width="11.57421875" style="8" customWidth="1"/>
    <col min="8" max="10" width="12.421875" style="8" customWidth="1"/>
    <col min="11" max="11" width="10.8515625" style="0" customWidth="1"/>
    <col min="12" max="12" width="12.57421875" style="0" customWidth="1"/>
    <col min="13" max="13" width="11.57421875" style="0" customWidth="1"/>
    <col min="14" max="14" width="13.7109375" style="0" customWidth="1"/>
    <col min="15" max="15" width="10.8515625" style="0" bestFit="1" customWidth="1"/>
    <col min="16" max="16" width="12.57421875" style="0" customWidth="1"/>
    <col min="20" max="20" width="11.57421875" style="0" bestFit="1" customWidth="1"/>
  </cols>
  <sheetData>
    <row r="1" spans="1:15" ht="18">
      <c r="A1" s="56"/>
      <c r="B1" s="57"/>
      <c r="C1" s="58"/>
      <c r="D1" s="58"/>
      <c r="E1" s="58"/>
      <c r="F1" s="58"/>
      <c r="G1" s="58"/>
      <c r="H1" s="58"/>
      <c r="I1" s="58"/>
      <c r="J1" s="58"/>
      <c r="K1" s="59"/>
      <c r="L1" s="59"/>
      <c r="M1" s="59"/>
      <c r="N1" s="59"/>
      <c r="O1" s="59"/>
    </row>
    <row r="2" spans="1:15" ht="15.75">
      <c r="A2" s="139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0.25" customHeight="1">
      <c r="A6" s="9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9.7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436</v>
      </c>
      <c r="O8" s="9"/>
    </row>
    <row r="9" spans="1:15" ht="27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15339</v>
      </c>
      <c r="D10" s="23">
        <v>9687</v>
      </c>
      <c r="E10" s="23">
        <f>SUM(C10:D10)</f>
        <v>25026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20329</v>
      </c>
      <c r="D12" s="23">
        <f>SUM(D13:D14)</f>
        <v>9607</v>
      </c>
      <c r="E12" s="23">
        <f>SUM(C12:D12)</f>
        <v>29936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20329</v>
      </c>
      <c r="D13" s="23">
        <v>9607</v>
      </c>
      <c r="E13" s="23">
        <f>SUM(C13:D13)</f>
        <v>29936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9499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35668</v>
      </c>
      <c r="D16" s="53">
        <f>D10+D12</f>
        <v>19294</v>
      </c>
      <c r="E16" s="53">
        <f>E10+E12+E15</f>
        <v>64461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0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4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58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5.75" customHeight="1">
      <c r="A23" s="142"/>
      <c r="B23" s="142"/>
      <c r="C23" s="172" t="s">
        <v>39</v>
      </c>
      <c r="D23" s="173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19368</v>
      </c>
      <c r="D25" s="76">
        <f>+'РАЗХОДИ ПО КМЕТСТВА'!AF22</f>
        <v>21595.15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19368</v>
      </c>
      <c r="P25" s="86">
        <f>D25+F25+H25+L25+N25</f>
        <v>21595.15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3722.5296</v>
      </c>
      <c r="D31" s="30">
        <f>+'РАЗХОДИ ПО КМЕТСТВА'!AE22</f>
        <v>4150.5878299999995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3722.5296</v>
      </c>
      <c r="P31" s="86">
        <f t="shared" si="1"/>
        <v>4150.5878299999995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КМЕТСТВА'!F22+'РАЗХОДИ ПО КМЕТСТВА'!G22</f>
        <v>333.76</v>
      </c>
      <c r="G38" s="30"/>
      <c r="H38" s="30"/>
      <c r="I38" s="30"/>
      <c r="J38" s="30"/>
      <c r="K38" s="30"/>
      <c r="L38" s="30">
        <f>+'РАЗХОДИ ПО КМЕТСТВА'!R22</f>
        <v>45</v>
      </c>
      <c r="M38" s="30"/>
      <c r="N38" s="30"/>
      <c r="O38" s="33">
        <f t="shared" si="0"/>
        <v>200</v>
      </c>
      <c r="P38" s="86">
        <f t="shared" si="1"/>
        <v>378.76</v>
      </c>
    </row>
    <row r="39" spans="1:16" s="2" customFormat="1" ht="30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КМЕТСТВА'!C22+'РАЗХОДИ ПО КМЕТСТВА'!D22+'РАЗХОДИ ПО КМЕТСТВА'!E22</f>
        <v>1862</v>
      </c>
      <c r="G39" s="30">
        <v>2897</v>
      </c>
      <c r="H39" s="30">
        <f>+'РАЗХОДИ ПО КМЕТСТВА'!N22</f>
        <v>3382.11</v>
      </c>
      <c r="I39" s="30"/>
      <c r="J39" s="30"/>
      <c r="K39" s="30"/>
      <c r="L39" s="30"/>
      <c r="M39" s="30"/>
      <c r="N39" s="30"/>
      <c r="O39" s="33">
        <f t="shared" si="0"/>
        <v>3937</v>
      </c>
      <c r="P39" s="86">
        <f t="shared" si="1"/>
        <v>5244.110000000001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КМЕТСТВА'!H22+'РАЗХОДИ ПО КМЕТСТВА'!I22+'РАЗХОДИ ПО КМЕТСТВА'!J22+'РАЗХОДИ ПО КМЕТСТВА'!K22</f>
        <v>575.91</v>
      </c>
      <c r="G40" s="30"/>
      <c r="H40" s="30"/>
      <c r="I40" s="30"/>
      <c r="J40" s="30">
        <f>+'РАЗХОДИ ПО КМЕТСТВА'!Y22+'РАЗХОДИ ПО КМЕТСТВА'!AD22</f>
        <v>3687.67</v>
      </c>
      <c r="K40" s="23"/>
      <c r="L40" s="96">
        <f>+'РАЗХОДИ ПО КМЕТСТВА'!Q22</f>
        <v>2987.76</v>
      </c>
      <c r="M40" s="30">
        <v>10846</v>
      </c>
      <c r="N40" s="30">
        <f>+'РАЗХОДИ ПО КМЕТСТВА'!V22</f>
        <v>13266.75</v>
      </c>
      <c r="O40" s="33">
        <f t="shared" si="0"/>
        <v>11366</v>
      </c>
      <c r="P40" s="86">
        <f>D40+F40+H40+L40+N40+J40</f>
        <v>20518.089999999997</v>
      </c>
    </row>
    <row r="41" spans="1:16" ht="15.75">
      <c r="A41" s="29" t="s">
        <v>31</v>
      </c>
      <c r="B41" s="26" t="s">
        <v>13</v>
      </c>
      <c r="C41" s="30"/>
      <c r="D41" s="30"/>
      <c r="E41" s="24">
        <v>3758</v>
      </c>
      <c r="F41" s="24">
        <f>+'РАЗХОДИ ПО КМЕТСТВА'!L22+'РАЗХОДИ ПО КМЕТСТВА'!AA22</f>
        <v>6847.540000000001</v>
      </c>
      <c r="G41" s="24"/>
      <c r="H41" s="24"/>
      <c r="I41" s="24"/>
      <c r="J41" s="24"/>
      <c r="K41" s="23"/>
      <c r="L41" s="23"/>
      <c r="M41" s="23"/>
      <c r="N41" s="23"/>
      <c r="O41" s="33">
        <f t="shared" si="0"/>
        <v>3758</v>
      </c>
      <c r="P41" s="86">
        <f t="shared" si="1"/>
        <v>6847.540000000001</v>
      </c>
    </row>
    <row r="42" spans="1:16" ht="15">
      <c r="A42" s="29" t="s">
        <v>33</v>
      </c>
      <c r="B42" s="26" t="s">
        <v>15</v>
      </c>
      <c r="C42" s="30"/>
      <c r="D42" s="30"/>
      <c r="E42" s="30">
        <v>750</v>
      </c>
      <c r="F42" s="30">
        <f>+'РАЗХОДИ ПО КМЕТСТВА'!M22</f>
        <v>529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750</v>
      </c>
      <c r="P42" s="86">
        <f t="shared" si="1"/>
        <v>529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23090.5296</v>
      </c>
      <c r="D45" s="54">
        <f t="shared" si="2"/>
        <v>25745.737830000002</v>
      </c>
      <c r="E45" s="54">
        <f t="shared" si="2"/>
        <v>6268</v>
      </c>
      <c r="F45" s="54">
        <f t="shared" si="2"/>
        <v>10148.210000000001</v>
      </c>
      <c r="G45" s="54">
        <f t="shared" si="2"/>
        <v>2897</v>
      </c>
      <c r="H45" s="54">
        <f t="shared" si="2"/>
        <v>3382.11</v>
      </c>
      <c r="I45" s="54">
        <f t="shared" si="2"/>
        <v>0</v>
      </c>
      <c r="J45" s="54">
        <f t="shared" si="2"/>
        <v>3687.67</v>
      </c>
      <c r="K45" s="54">
        <f t="shared" si="2"/>
        <v>400</v>
      </c>
      <c r="L45" s="54">
        <f t="shared" si="2"/>
        <v>3032.76</v>
      </c>
      <c r="M45" s="54">
        <f t="shared" si="2"/>
        <v>10846</v>
      </c>
      <c r="N45" s="54">
        <f t="shared" si="2"/>
        <v>13266.75</v>
      </c>
      <c r="O45" s="38">
        <f t="shared" si="2"/>
        <v>43501.5296</v>
      </c>
      <c r="P45" s="38">
        <f>SUM(P25:P44)</f>
        <v>59263.23783</v>
      </c>
    </row>
    <row r="46" ht="9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КМЕТСТВА'!AH22-Средня!P45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2.7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9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15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6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2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C32">
      <selection activeCell="D32" sqref="D32"/>
    </sheetView>
  </sheetViews>
  <sheetFormatPr defaultColWidth="9.140625" defaultRowHeight="12.75"/>
  <cols>
    <col min="1" max="1" width="40.421875" style="0" customWidth="1"/>
    <col min="2" max="2" width="13.7109375" style="3" customWidth="1"/>
    <col min="3" max="3" width="13.28125" style="8" customWidth="1"/>
    <col min="4" max="4" width="13.7109375" style="8" customWidth="1"/>
    <col min="5" max="5" width="10.7109375" style="8" customWidth="1"/>
    <col min="6" max="6" width="13.8515625" style="8" customWidth="1"/>
    <col min="7" max="7" width="11.7109375" style="8" customWidth="1"/>
    <col min="8" max="10" width="12.8515625" style="8" customWidth="1"/>
    <col min="11" max="11" width="11.7109375" style="0" customWidth="1"/>
    <col min="12" max="12" width="12.8515625" style="0" customWidth="1"/>
    <col min="13" max="13" width="11.7109375" style="0" customWidth="1"/>
    <col min="14" max="14" width="13.140625" style="0" customWidth="1"/>
    <col min="15" max="15" width="10.8515625" style="0" bestFit="1" customWidth="1"/>
    <col min="16" max="16" width="13.00390625" style="0" customWidth="1"/>
    <col min="20" max="20" width="11.57421875" style="0" bestFit="1" customWidth="1"/>
  </cols>
  <sheetData>
    <row r="1" ht="18">
      <c r="A1" s="20"/>
    </row>
    <row r="2" spans="1:15" ht="15.75">
      <c r="A2" s="139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9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9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481</v>
      </c>
      <c r="O8" s="9"/>
    </row>
    <row r="9" spans="1:15" ht="17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13028</v>
      </c>
      <c r="D10" s="23">
        <v>7094</v>
      </c>
      <c r="E10" s="23">
        <f>SUM(C10:D10)</f>
        <v>20122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20088</v>
      </c>
      <c r="D12" s="23">
        <f>SUM(D13:D14)</f>
        <v>8872</v>
      </c>
      <c r="E12" s="23">
        <f>SUM(C12:D12)</f>
        <v>28960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20088</v>
      </c>
      <c r="D13" s="23">
        <v>8872</v>
      </c>
      <c r="E13" s="23">
        <f>SUM(C13:D13)</f>
        <v>28960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10244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33116</v>
      </c>
      <c r="D16" s="53">
        <f>D10+D12</f>
        <v>15966</v>
      </c>
      <c r="E16" s="53">
        <f>E10+E12+E15</f>
        <v>59326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8.25" customHeight="1">
      <c r="A17" s="9"/>
      <c r="B17" s="9"/>
      <c r="C17" s="52"/>
      <c r="D17" s="5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7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59.25" customHeight="1">
      <c r="A22" s="142" t="s">
        <v>38</v>
      </c>
      <c r="B22" s="169" t="s">
        <v>0</v>
      </c>
      <c r="C22" s="153" t="s">
        <v>41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74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" customHeight="1">
      <c r="A24" s="72"/>
      <c r="B24" s="73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16560</v>
      </c>
      <c r="D25" s="76">
        <f>+'РАЗХОДИ ПО КМЕТСТВА'!AF16</f>
        <v>17953.04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16560</v>
      </c>
      <c r="P25" s="86">
        <f>D25+F25+H25+L25+N25</f>
        <v>17953.04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3182.8319999999994</v>
      </c>
      <c r="D31" s="30">
        <f>+'РАЗХОДИ ПО КМЕТСТВА'!AE16</f>
        <v>3450.574288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3182.8319999999994</v>
      </c>
      <c r="P31" s="86">
        <f t="shared" si="1"/>
        <v>3450.574288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КМЕТСТВА'!F16+'РАЗХОДИ ПО КМЕТСТВА'!G16</f>
        <v>351.04</v>
      </c>
      <c r="G38" s="30"/>
      <c r="H38" s="30"/>
      <c r="I38" s="30"/>
      <c r="J38" s="30"/>
      <c r="K38" s="30"/>
      <c r="L38" s="30">
        <f>+'РАЗХОДИ ПО КМЕТСТВА'!R16</f>
        <v>45</v>
      </c>
      <c r="M38" s="30"/>
      <c r="N38" s="30"/>
      <c r="O38" s="33">
        <f t="shared" si="0"/>
        <v>200</v>
      </c>
      <c r="P38" s="86">
        <f t="shared" si="1"/>
        <v>396.04</v>
      </c>
    </row>
    <row r="39" spans="1:16" s="2" customFormat="1" ht="33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КМЕТСТВА'!C16+'РАЗХОДИ ПО КМЕТСТВА'!D16+'РАЗХОДИ ПО КМЕТСТВА'!E16</f>
        <v>910.29</v>
      </c>
      <c r="G39" s="30">
        <v>3931</v>
      </c>
      <c r="H39" s="30">
        <f>+'РАЗХОДИ ПО КМЕТСТВА'!N16</f>
        <v>2828.13</v>
      </c>
      <c r="I39" s="30"/>
      <c r="J39" s="30"/>
      <c r="K39" s="30"/>
      <c r="L39" s="30"/>
      <c r="M39" s="30"/>
      <c r="N39" s="30"/>
      <c r="O39" s="33">
        <f t="shared" si="0"/>
        <v>4971</v>
      </c>
      <c r="P39" s="86">
        <f t="shared" si="1"/>
        <v>3738.42</v>
      </c>
    </row>
    <row r="40" spans="1:16" ht="33" customHeight="1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КМЕТСТВА'!H16+'РАЗХОДИ ПО КМЕТСТВА'!I16+'РАЗХОДИ ПО КМЕТСТВА'!J16+'РАЗХОДИ ПО КМЕТСТВА'!K16</f>
        <v>566.94</v>
      </c>
      <c r="G40" s="30"/>
      <c r="H40" s="30"/>
      <c r="I40" s="30"/>
      <c r="J40" s="30">
        <f>+'РАЗХОДИ ПО КМЕТСТВА'!Y16</f>
        <v>643.1</v>
      </c>
      <c r="K40" s="23"/>
      <c r="L40" s="96">
        <f>+'РАЗХОДИ ПО КМЕТСТВА'!Q16</f>
        <v>1215.6</v>
      </c>
      <c r="M40" s="30">
        <v>10698</v>
      </c>
      <c r="N40" s="30">
        <f>+'РАЗХОДИ ПО КМЕТСТВА'!V16</f>
        <v>15769.62</v>
      </c>
      <c r="O40" s="33">
        <f t="shared" si="0"/>
        <v>11218</v>
      </c>
      <c r="P40" s="86">
        <f>D40+F40+H40+L40+N40+J40</f>
        <v>18195.26</v>
      </c>
    </row>
    <row r="41" spans="1:16" ht="15.75">
      <c r="A41" s="29" t="s">
        <v>31</v>
      </c>
      <c r="B41" s="26" t="s">
        <v>13</v>
      </c>
      <c r="C41" s="30"/>
      <c r="D41" s="30"/>
      <c r="E41" s="24">
        <v>4146</v>
      </c>
      <c r="F41" s="24">
        <f>+'РАЗХОДИ ПО КМЕТСТВА'!AA16</f>
        <v>5974.75</v>
      </c>
      <c r="G41" s="24"/>
      <c r="H41" s="24"/>
      <c r="I41" s="24"/>
      <c r="J41" s="24"/>
      <c r="K41" s="23"/>
      <c r="L41" s="23"/>
      <c r="M41" s="23"/>
      <c r="N41" s="23"/>
      <c r="O41" s="33">
        <f t="shared" si="0"/>
        <v>4146</v>
      </c>
      <c r="P41" s="86">
        <f>D41+F41+H41+L41+N41</f>
        <v>5974.75</v>
      </c>
    </row>
    <row r="42" spans="1:16" ht="15">
      <c r="A42" s="29" t="s">
        <v>65</v>
      </c>
      <c r="B42" s="26" t="s">
        <v>15</v>
      </c>
      <c r="C42" s="30"/>
      <c r="D42" s="30"/>
      <c r="E42" s="30">
        <v>200</v>
      </c>
      <c r="F42" s="30">
        <f>+'РАЗХОДИ ПО КМЕТСТВА'!M16</f>
        <v>180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200</v>
      </c>
      <c r="P42" s="86">
        <f t="shared" si="1"/>
        <v>180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19742.832</v>
      </c>
      <c r="D45" s="54">
        <f t="shared" si="2"/>
        <v>21403.614288</v>
      </c>
      <c r="E45" s="54">
        <f t="shared" si="2"/>
        <v>6106</v>
      </c>
      <c r="F45" s="54">
        <f t="shared" si="2"/>
        <v>7983.02</v>
      </c>
      <c r="G45" s="54">
        <f t="shared" si="2"/>
        <v>3931</v>
      </c>
      <c r="H45" s="54">
        <f t="shared" si="2"/>
        <v>2828.13</v>
      </c>
      <c r="I45" s="54">
        <f t="shared" si="2"/>
        <v>0</v>
      </c>
      <c r="J45" s="54">
        <f t="shared" si="2"/>
        <v>643.1</v>
      </c>
      <c r="K45" s="54">
        <f t="shared" si="2"/>
        <v>400</v>
      </c>
      <c r="L45" s="54">
        <f t="shared" si="2"/>
        <v>1260.6</v>
      </c>
      <c r="M45" s="54">
        <f t="shared" si="2"/>
        <v>10698</v>
      </c>
      <c r="N45" s="54">
        <f t="shared" si="2"/>
        <v>15769.62</v>
      </c>
      <c r="O45" s="38">
        <f t="shared" si="2"/>
        <v>40877.831999999995</v>
      </c>
      <c r="P45" s="38">
        <f>SUM(P25:P44)</f>
        <v>49888.084288</v>
      </c>
    </row>
    <row r="46" spans="3:14" ht="7.5" customHeight="1">
      <c r="C46" s="55"/>
      <c r="D46" s="55"/>
      <c r="E46" s="55"/>
      <c r="F46" s="55"/>
      <c r="G46" s="55"/>
      <c r="H46" s="55"/>
      <c r="I46" s="55"/>
      <c r="J46" s="55"/>
      <c r="K46" s="51"/>
      <c r="L46" s="51"/>
      <c r="M46" s="51"/>
      <c r="N46" s="51"/>
    </row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КМЕТСТВА'!AH16-Струйно!P45</f>
        <v>0</v>
      </c>
    </row>
    <row r="49" spans="1:15" ht="21" customHeight="1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1.2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9.7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1">
      <selection activeCell="D32" sqref="D32"/>
    </sheetView>
  </sheetViews>
  <sheetFormatPr defaultColWidth="9.140625" defaultRowHeight="12.75"/>
  <cols>
    <col min="1" max="1" width="38.7109375" style="0" customWidth="1"/>
    <col min="2" max="2" width="13.7109375" style="3" customWidth="1"/>
    <col min="3" max="3" width="13.00390625" style="8" customWidth="1"/>
    <col min="4" max="4" width="13.28125" style="8" customWidth="1"/>
    <col min="5" max="5" width="12.421875" style="8" customWidth="1"/>
    <col min="6" max="6" width="12.140625" style="8" customWidth="1"/>
    <col min="7" max="7" width="11.57421875" style="8" customWidth="1"/>
    <col min="8" max="10" width="12.7109375" style="8" customWidth="1"/>
    <col min="11" max="11" width="10.57421875" style="0" customWidth="1"/>
    <col min="12" max="12" width="13.28125" style="0" customWidth="1"/>
    <col min="13" max="13" width="13.00390625" style="0" customWidth="1"/>
    <col min="14" max="14" width="13.5742187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18">
      <c r="A1" s="20"/>
    </row>
    <row r="2" spans="1:15" ht="15.75">
      <c r="A2" s="139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9"/>
      <c r="G5" s="9"/>
      <c r="H5" s="9"/>
      <c r="I5" s="9">
        <v>2018</v>
      </c>
      <c r="J5" s="9"/>
      <c r="K5" s="9"/>
      <c r="L5" s="9"/>
      <c r="M5" s="9"/>
      <c r="N5" s="9"/>
      <c r="O5" s="9"/>
    </row>
    <row r="6" spans="1:15" ht="13.5" customHeight="1">
      <c r="A6" s="13" t="s">
        <v>45</v>
      </c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.7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1243</v>
      </c>
      <c r="O8" s="9"/>
    </row>
    <row r="9" spans="1:15" ht="34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26904</v>
      </c>
      <c r="D10" s="23">
        <v>51197</v>
      </c>
      <c r="E10" s="23">
        <f>SUM(C10:D10)</f>
        <v>78101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24127</v>
      </c>
      <c r="D12" s="23">
        <f>SUM(D13:D14)</f>
        <v>51098</v>
      </c>
      <c r="E12" s="23">
        <f>SUM(C12:D12)</f>
        <v>75225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24127</v>
      </c>
      <c r="D13" s="23">
        <v>51098</v>
      </c>
      <c r="E13" s="23">
        <f>SUM(C13:D13)</f>
        <v>75225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21278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51031</v>
      </c>
      <c r="D16" s="53">
        <f>D10+D12</f>
        <v>102295</v>
      </c>
      <c r="E16" s="53">
        <f>E10+E12+E15</f>
        <v>174604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8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8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8.7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64</v>
      </c>
      <c r="P22" s="150"/>
    </row>
    <row r="23" spans="1:16" s="1" customFormat="1" ht="48.7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30">
        <v>19728</v>
      </c>
      <c r="D25" s="30">
        <f>+'РАЗХОДИ ПО КМЕТСТВА'!AF34</f>
        <v>22001.01</v>
      </c>
      <c r="E25" s="30"/>
      <c r="F25" s="76"/>
      <c r="G25" s="30"/>
      <c r="H25" s="76"/>
      <c r="I25" s="76"/>
      <c r="J25" s="76"/>
      <c r="K25" s="30"/>
      <c r="L25" s="76"/>
      <c r="M25" s="30"/>
      <c r="N25" s="76"/>
      <c r="O25" s="33">
        <f>C25+E25+G25+K25+M25</f>
        <v>19728</v>
      </c>
      <c r="P25" s="86">
        <f>D25+F25+H25+L25+N25</f>
        <v>22001.01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3791.7216</v>
      </c>
      <c r="D31" s="30">
        <f>+'РАЗХОДИ ПО КМЕТСТВА'!AE34</f>
        <v>4228.5941219999995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3791.7216</v>
      </c>
      <c r="P31" s="86">
        <f t="shared" si="1"/>
        <v>4228.5941219999995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КМЕТСТВА'!F34+'РАЗХОДИ ПО КМЕТСТВА'!G34</f>
        <v>311.3</v>
      </c>
      <c r="G38" s="30"/>
      <c r="H38" s="30"/>
      <c r="I38" s="30"/>
      <c r="J38" s="30"/>
      <c r="K38" s="30"/>
      <c r="L38" s="30">
        <f>+'РАЗХОДИ ПО КМЕТСТВА'!R34</f>
        <v>45</v>
      </c>
      <c r="M38" s="30"/>
      <c r="N38" s="30"/>
      <c r="O38" s="33">
        <f t="shared" si="0"/>
        <v>200</v>
      </c>
      <c r="P38" s="86">
        <f t="shared" si="1"/>
        <v>356.3</v>
      </c>
    </row>
    <row r="39" spans="1:16" s="2" customFormat="1" ht="30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КМЕТСТВА'!C34+'РАЗХОДИ ПО КМЕТСТВА'!D34+'РАЗХОДИ ПО КМЕТСТВА'!E34</f>
        <v>3389.87</v>
      </c>
      <c r="G39" s="30">
        <v>6658</v>
      </c>
      <c r="H39" s="30">
        <f>+'РАЗХОДИ ПО КМЕТСТВА'!N34</f>
        <v>5882.77</v>
      </c>
      <c r="I39" s="30"/>
      <c r="J39" s="30"/>
      <c r="K39" s="30"/>
      <c r="L39" s="30"/>
      <c r="M39" s="30"/>
      <c r="N39" s="30"/>
      <c r="O39" s="33">
        <f t="shared" si="0"/>
        <v>7698</v>
      </c>
      <c r="P39" s="86">
        <f t="shared" si="1"/>
        <v>9272.64</v>
      </c>
    </row>
    <row r="40" spans="1:16" ht="30.75" customHeight="1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КМЕТСТВА'!H34+'РАЗХОДИ ПО КМЕТСТВА'!I34+'РАЗХОДИ ПО КМЕТСТВА'!J34+'РАЗХОДИ ПО КМЕТСТВА'!L34+'РАЗХОДИ ПО КМЕТСТВА'!K34</f>
        <v>684.14</v>
      </c>
      <c r="G40" s="30"/>
      <c r="H40" s="30"/>
      <c r="I40" s="30"/>
      <c r="J40" s="30">
        <f>+'РАЗХОДИ ПО КМЕТСТВА'!Y34</f>
        <v>741.35</v>
      </c>
      <c r="K40" s="23"/>
      <c r="L40" s="96">
        <f>+'РАЗХОДИ ПО КМЕТСТВА'!Q34</f>
        <v>1766.52</v>
      </c>
      <c r="M40" s="30">
        <v>43399</v>
      </c>
      <c r="N40" s="30">
        <f>+'РАЗХОДИ ПО КМЕТСТВА'!V34</f>
        <v>58743.06</v>
      </c>
      <c r="O40" s="33">
        <f t="shared" si="0"/>
        <v>43919</v>
      </c>
      <c r="P40" s="86">
        <f>D40+F40+H40+L40+N40+J40</f>
        <v>61935.07</v>
      </c>
    </row>
    <row r="41" spans="1:16" ht="15.75">
      <c r="A41" s="29" t="s">
        <v>31</v>
      </c>
      <c r="B41" s="26" t="s">
        <v>13</v>
      </c>
      <c r="C41" s="30"/>
      <c r="D41" s="30"/>
      <c r="E41" s="24">
        <v>10715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10715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540</v>
      </c>
      <c r="F42" s="30">
        <f>+'РАЗХОДИ ПО КМЕТСТВА'!M34</f>
        <v>735.15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540</v>
      </c>
      <c r="P42" s="86">
        <f t="shared" si="1"/>
        <v>735.15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37">
        <f aca="true" t="shared" si="2" ref="C45:O45">SUM(C25:C44)</f>
        <v>23519.7216</v>
      </c>
      <c r="D45" s="37">
        <f t="shared" si="2"/>
        <v>26229.604121999997</v>
      </c>
      <c r="E45" s="37">
        <f t="shared" si="2"/>
        <v>13015</v>
      </c>
      <c r="F45" s="37">
        <f t="shared" si="2"/>
        <v>5120.46</v>
      </c>
      <c r="G45" s="37">
        <f t="shared" si="2"/>
        <v>6658</v>
      </c>
      <c r="H45" s="37">
        <f t="shared" si="2"/>
        <v>5882.77</v>
      </c>
      <c r="I45" s="37">
        <f t="shared" si="2"/>
        <v>0</v>
      </c>
      <c r="J45" s="37">
        <f t="shared" si="2"/>
        <v>741.35</v>
      </c>
      <c r="K45" s="37">
        <f t="shared" si="2"/>
        <v>400</v>
      </c>
      <c r="L45" s="37">
        <f t="shared" si="2"/>
        <v>1811.52</v>
      </c>
      <c r="M45" s="37">
        <f t="shared" si="2"/>
        <v>43399</v>
      </c>
      <c r="N45" s="37">
        <f t="shared" si="2"/>
        <v>58743.06</v>
      </c>
      <c r="O45" s="38">
        <f t="shared" si="2"/>
        <v>86991.7216</v>
      </c>
      <c r="P45" s="38">
        <f>SUM(P25:P44)</f>
        <v>98528.764122</v>
      </c>
    </row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92">
        <f>'РАЗХОДИ ПО КМЕТСТВА'!AH34-'Царев Брод'!P45</f>
        <v>0</v>
      </c>
    </row>
    <row r="49" spans="1:15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</row>
    <row r="52" spans="1:15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15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15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B1">
      <selection activeCell="D30" sqref="D30"/>
    </sheetView>
  </sheetViews>
  <sheetFormatPr defaultColWidth="9.140625" defaultRowHeight="12.75"/>
  <cols>
    <col min="1" max="1" width="38.8515625" style="0" customWidth="1"/>
    <col min="2" max="2" width="13.00390625" style="3" customWidth="1"/>
    <col min="3" max="3" width="11.421875" style="8" customWidth="1"/>
    <col min="4" max="4" width="12.421875" style="8" customWidth="1"/>
    <col min="5" max="5" width="11.7109375" style="8" customWidth="1"/>
    <col min="6" max="6" width="13.8515625" style="8" customWidth="1"/>
    <col min="7" max="7" width="11.421875" style="8" customWidth="1"/>
    <col min="8" max="10" width="12.7109375" style="8" customWidth="1"/>
    <col min="11" max="11" width="11.140625" style="0" customWidth="1"/>
    <col min="12" max="12" width="12.57421875" style="0" customWidth="1"/>
    <col min="13" max="13" width="10.421875" style="0" customWidth="1"/>
    <col min="14" max="14" width="13.28125" style="0" customWidth="1"/>
    <col min="15" max="15" width="14.57421875" style="0" customWidth="1"/>
    <col min="16" max="16" width="12.421875" style="0" customWidth="1"/>
    <col min="20" max="20" width="11.57421875" style="0" bestFit="1" customWidth="1"/>
  </cols>
  <sheetData>
    <row r="1" ht="21.75" customHeight="1">
      <c r="A1" s="56"/>
    </row>
    <row r="2" spans="1:15" ht="15.75">
      <c r="A2" s="139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6.5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9.7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97</v>
      </c>
      <c r="O8" s="9"/>
    </row>
    <row r="9" spans="1:15" ht="15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0.5</v>
      </c>
      <c r="O9" s="9"/>
    </row>
    <row r="10" spans="1:15" ht="15.75">
      <c r="A10" s="11" t="s">
        <v>46</v>
      </c>
      <c r="B10" s="4" t="s">
        <v>47</v>
      </c>
      <c r="C10" s="23">
        <v>2198</v>
      </c>
      <c r="D10" s="23">
        <v>2053</v>
      </c>
      <c r="E10" s="23">
        <f>SUM(C10:D10)</f>
        <v>4251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6826</v>
      </c>
      <c r="D12" s="23">
        <f>SUM(D13:D14)</f>
        <v>3496</v>
      </c>
      <c r="E12" s="23">
        <f>SUM(C12:D12)</f>
        <v>10322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6826</v>
      </c>
      <c r="D13" s="23">
        <v>3496</v>
      </c>
      <c r="E13" s="23">
        <f>SUM(C13:D13)</f>
        <v>10322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9024</v>
      </c>
      <c r="D16" s="53">
        <f>D10+D12</f>
        <v>5549</v>
      </c>
      <c r="E16" s="53">
        <f>E10+E12+E15</f>
        <v>14573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13" t="s">
        <v>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6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6" ht="58.5" customHeight="1">
      <c r="A20" s="142" t="s">
        <v>38</v>
      </c>
      <c r="B20" s="142" t="s">
        <v>0</v>
      </c>
      <c r="C20" s="153" t="s">
        <v>63</v>
      </c>
      <c r="D20" s="154"/>
      <c r="E20" s="154"/>
      <c r="F20" s="155"/>
      <c r="G20" s="161" t="s">
        <v>42</v>
      </c>
      <c r="H20" s="162"/>
      <c r="I20" s="161" t="s">
        <v>100</v>
      </c>
      <c r="J20" s="162"/>
      <c r="K20" s="161" t="s">
        <v>43</v>
      </c>
      <c r="L20" s="162"/>
      <c r="M20" s="153" t="s">
        <v>44</v>
      </c>
      <c r="N20" s="154"/>
      <c r="O20" s="149" t="s">
        <v>60</v>
      </c>
      <c r="P20" s="150"/>
    </row>
    <row r="21" spans="1:16" s="1" customFormat="1" ht="44.25" customHeight="1">
      <c r="A21" s="142"/>
      <c r="B21" s="142"/>
      <c r="C21" s="165" t="s">
        <v>39</v>
      </c>
      <c r="D21" s="166"/>
      <c r="E21" s="163" t="s">
        <v>40</v>
      </c>
      <c r="F21" s="164"/>
      <c r="G21" s="163" t="s">
        <v>40</v>
      </c>
      <c r="H21" s="164"/>
      <c r="I21" s="147" t="s">
        <v>40</v>
      </c>
      <c r="J21" s="148"/>
      <c r="K21" s="163" t="s">
        <v>40</v>
      </c>
      <c r="L21" s="164"/>
      <c r="M21" s="147" t="s">
        <v>40</v>
      </c>
      <c r="N21" s="160"/>
      <c r="O21" s="151"/>
      <c r="P21" s="152"/>
    </row>
    <row r="22" spans="1:16" s="1" customFormat="1" ht="33" customHeight="1">
      <c r="A22" s="72"/>
      <c r="B22" s="72"/>
      <c r="C22" s="94" t="s">
        <v>104</v>
      </c>
      <c r="D22" s="95" t="s">
        <v>105</v>
      </c>
      <c r="E22" s="94" t="s">
        <v>104</v>
      </c>
      <c r="F22" s="95" t="s">
        <v>106</v>
      </c>
      <c r="G22" s="94" t="s">
        <v>104</v>
      </c>
      <c r="H22" s="95" t="s">
        <v>106</v>
      </c>
      <c r="I22" s="94" t="s">
        <v>104</v>
      </c>
      <c r="J22" s="95" t="s">
        <v>106</v>
      </c>
      <c r="K22" s="94" t="s">
        <v>104</v>
      </c>
      <c r="L22" s="95" t="s">
        <v>106</v>
      </c>
      <c r="M22" s="94" t="s">
        <v>104</v>
      </c>
      <c r="N22" s="95" t="s">
        <v>106</v>
      </c>
      <c r="O22" s="94" t="s">
        <v>104</v>
      </c>
      <c r="P22" s="95" t="s">
        <v>106</v>
      </c>
    </row>
    <row r="23" spans="1:16" s="2" customFormat="1" ht="33" customHeight="1">
      <c r="A23" s="29" t="s">
        <v>1</v>
      </c>
      <c r="B23" s="26" t="s">
        <v>17</v>
      </c>
      <c r="C23" s="76">
        <v>4092</v>
      </c>
      <c r="D23" s="76">
        <f>+'РАЗХОДИ ПО КМЕТСТВА'!AF27</f>
        <v>8240.33</v>
      </c>
      <c r="E23" s="76"/>
      <c r="F23" s="76"/>
      <c r="G23" s="30"/>
      <c r="H23" s="30"/>
      <c r="I23" s="30"/>
      <c r="J23" s="30"/>
      <c r="K23" s="30"/>
      <c r="L23" s="30"/>
      <c r="M23" s="30"/>
      <c r="N23" s="30"/>
      <c r="O23" s="33">
        <f>C23+E23+G23+K23+M23</f>
        <v>4092</v>
      </c>
      <c r="P23" s="86">
        <f>D23+F23+H23+L23+N23</f>
        <v>8240.33</v>
      </c>
    </row>
    <row r="24" spans="1:16" s="2" customFormat="1" ht="30">
      <c r="A24" s="29" t="s">
        <v>24</v>
      </c>
      <c r="B24" s="26" t="s">
        <v>25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3">
        <f aca="true" t="shared" si="0" ref="O24:O42">C24+E24+G24+K24+M24</f>
        <v>0</v>
      </c>
      <c r="P24" s="86">
        <f aca="true" t="shared" si="1" ref="P24:P42">D24+F24+H24+L24+N24</f>
        <v>0</v>
      </c>
    </row>
    <row r="25" spans="1:16" s="2" customFormat="1" ht="22.5" customHeight="1">
      <c r="A25" s="29" t="s">
        <v>32</v>
      </c>
      <c r="B25" s="26" t="s">
        <v>26</v>
      </c>
      <c r="C25" s="30"/>
      <c r="D25" s="30"/>
      <c r="E25" s="30"/>
      <c r="F25" s="30"/>
      <c r="G25" s="30"/>
      <c r="H25" s="30"/>
      <c r="I25" s="30"/>
      <c r="J25" s="30"/>
      <c r="K25" s="30">
        <v>400</v>
      </c>
      <c r="L25" s="30"/>
      <c r="M25" s="30"/>
      <c r="N25" s="30"/>
      <c r="O25" s="33">
        <f t="shared" si="0"/>
        <v>400</v>
      </c>
      <c r="P25" s="86">
        <f t="shared" si="1"/>
        <v>0</v>
      </c>
    </row>
    <row r="26" spans="1:16" s="2" customFormat="1" ht="15">
      <c r="A26" s="29" t="s">
        <v>28</v>
      </c>
      <c r="B26" s="26" t="s">
        <v>27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t="shared" si="0"/>
        <v>0</v>
      </c>
      <c r="P26" s="86">
        <f t="shared" si="1"/>
        <v>0</v>
      </c>
    </row>
    <row r="27" spans="1:16" s="2" customFormat="1" ht="30">
      <c r="A27" s="29" t="s">
        <v>36</v>
      </c>
      <c r="B27" s="26" t="s">
        <v>37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3">
        <f t="shared" si="0"/>
        <v>0</v>
      </c>
      <c r="P27" s="86">
        <f t="shared" si="1"/>
        <v>0</v>
      </c>
    </row>
    <row r="28" spans="1:16" s="2" customFormat="1" ht="30">
      <c r="A28" s="29" t="s">
        <v>35</v>
      </c>
      <c r="B28" s="26" t="s">
        <v>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18</v>
      </c>
      <c r="B29" s="26" t="s">
        <v>4</v>
      </c>
      <c r="C29" s="30">
        <f>C23*19.22/100</f>
        <v>786.4823999999999</v>
      </c>
      <c r="D29" s="30">
        <f>+'РАЗХОДИ ПО КМЕТСТВА'!AE27</f>
        <v>1583.7914259999998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786.4823999999999</v>
      </c>
      <c r="P29" s="86">
        <f t="shared" si="1"/>
        <v>1583.7914259999998</v>
      </c>
    </row>
    <row r="30" spans="1:16" s="2" customFormat="1" ht="15">
      <c r="A30" s="29" t="s">
        <v>19</v>
      </c>
      <c r="B30" s="26" t="s">
        <v>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15">
      <c r="A31" s="29" t="s">
        <v>20</v>
      </c>
      <c r="B31" s="26" t="s">
        <v>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0</v>
      </c>
      <c r="P31" s="86">
        <f t="shared" si="1"/>
        <v>0</v>
      </c>
    </row>
    <row r="32" spans="1:16" s="2" customFormat="1" ht="18" customHeight="1">
      <c r="A32" s="29" t="s">
        <v>21</v>
      </c>
      <c r="B32" s="26" t="s">
        <v>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30">
      <c r="A33" s="29" t="s">
        <v>22</v>
      </c>
      <c r="B33" s="26" t="s">
        <v>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23</v>
      </c>
      <c r="B34" s="26" t="s">
        <v>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17.25" customHeight="1">
      <c r="A35" s="29" t="s">
        <v>29</v>
      </c>
      <c r="B35" s="26" t="s">
        <v>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30</v>
      </c>
      <c r="B36" s="26" t="s">
        <v>10</v>
      </c>
      <c r="C36" s="30"/>
      <c r="D36" s="30"/>
      <c r="E36" s="30">
        <v>200</v>
      </c>
      <c r="F36" s="30">
        <f>+'РАЗХОДИ ПО КМЕТСТВА'!F27+'РАЗХОДИ ПО КМЕТСТВА'!G27</f>
        <v>249.6</v>
      </c>
      <c r="G36" s="30"/>
      <c r="H36" s="30"/>
      <c r="I36" s="30"/>
      <c r="J36" s="30"/>
      <c r="K36" s="30"/>
      <c r="L36" s="30">
        <f>+'РАЗХОДИ ПО КМЕТСТВА'!R27</f>
        <v>27</v>
      </c>
      <c r="M36" s="30"/>
      <c r="N36" s="30"/>
      <c r="O36" s="33">
        <f t="shared" si="0"/>
        <v>200</v>
      </c>
      <c r="P36" s="86">
        <f t="shared" si="1"/>
        <v>276.6</v>
      </c>
    </row>
    <row r="37" spans="1:16" s="2" customFormat="1" ht="28.5" customHeight="1">
      <c r="A37" s="29" t="s">
        <v>62</v>
      </c>
      <c r="B37" s="26" t="s">
        <v>11</v>
      </c>
      <c r="C37" s="30"/>
      <c r="D37" s="30"/>
      <c r="E37" s="30">
        <v>1040</v>
      </c>
      <c r="F37" s="30">
        <f>+'РАЗХОДИ ПО КМЕТСТВА'!C27+'РАЗХОДИ ПО КМЕТСТВА'!D27+'РАЗХОДИ ПО КМЕТСТВА'!E27</f>
        <v>389.62</v>
      </c>
      <c r="G37" s="30">
        <v>3035</v>
      </c>
      <c r="H37" s="30">
        <f>+'РАЗХОДИ ПО КМЕТСТВА'!N27</f>
        <v>1040.83</v>
      </c>
      <c r="I37" s="30"/>
      <c r="J37" s="30"/>
      <c r="K37" s="30"/>
      <c r="L37" s="30"/>
      <c r="M37" s="30"/>
      <c r="N37" s="30"/>
      <c r="O37" s="33">
        <f t="shared" si="0"/>
        <v>4075</v>
      </c>
      <c r="P37" s="86">
        <f>D37+F37+H37+L37+N37+J37</f>
        <v>1430.4499999999998</v>
      </c>
    </row>
    <row r="38" spans="1:16" ht="30">
      <c r="A38" s="29" t="s">
        <v>61</v>
      </c>
      <c r="B38" s="26" t="s">
        <v>12</v>
      </c>
      <c r="C38" s="30"/>
      <c r="D38" s="30"/>
      <c r="E38" s="30">
        <v>520</v>
      </c>
      <c r="F38" s="30">
        <f>+'РАЗХОДИ ПО КМЕТСТВА'!H27+'РАЗХОДИ ПО КМЕТСТВА'!I27+'РАЗХОДИ ПО КМЕТСТВА'!J27+'РАЗХОДИ ПО КМЕТСТВА'!K27</f>
        <v>401.88</v>
      </c>
      <c r="G38" s="30"/>
      <c r="H38" s="30"/>
      <c r="I38" s="30"/>
      <c r="J38" s="30">
        <f>+'РАЗХОДИ ПО КМЕТСТВА'!Y27</f>
        <v>242.81</v>
      </c>
      <c r="K38" s="23"/>
      <c r="L38" s="30">
        <f>+'РАЗХОДИ ПО КМЕТСТВА'!Q27</f>
        <v>608.4</v>
      </c>
      <c r="M38" s="30">
        <v>9107</v>
      </c>
      <c r="N38" s="30">
        <f>+'РАЗХОДИ ПО КМЕТСТВА'!V27</f>
        <v>4563.53</v>
      </c>
      <c r="O38" s="33">
        <f>C38+E38+G38+K38+M38</f>
        <v>9627</v>
      </c>
      <c r="P38" s="86">
        <f>D38+F38+H38+L38+N38+J38</f>
        <v>5816.62</v>
      </c>
    </row>
    <row r="39" spans="1:16" ht="15.75">
      <c r="A39" s="29" t="s">
        <v>31</v>
      </c>
      <c r="B39" s="26" t="s">
        <v>13</v>
      </c>
      <c r="C39" s="30"/>
      <c r="D39" s="30"/>
      <c r="E39" s="24">
        <v>836</v>
      </c>
      <c r="F39" s="24"/>
      <c r="G39" s="24"/>
      <c r="H39" s="24"/>
      <c r="I39" s="24"/>
      <c r="J39" s="24"/>
      <c r="K39" s="23"/>
      <c r="L39" s="23"/>
      <c r="M39" s="23"/>
      <c r="N39" s="23"/>
      <c r="O39" s="33">
        <f t="shared" si="0"/>
        <v>836</v>
      </c>
      <c r="P39" s="86">
        <f t="shared" si="1"/>
        <v>0</v>
      </c>
    </row>
    <row r="40" spans="1:16" ht="15">
      <c r="A40" s="29" t="s">
        <v>65</v>
      </c>
      <c r="B40" s="26" t="s">
        <v>15</v>
      </c>
      <c r="C40" s="30"/>
      <c r="D40" s="30"/>
      <c r="E40" s="30">
        <v>180</v>
      </c>
      <c r="F40" s="30">
        <f>+'РАЗХОДИ ПО КМЕТСТВА'!M27</f>
        <v>0</v>
      </c>
      <c r="G40" s="30"/>
      <c r="H40" s="30"/>
      <c r="I40" s="30"/>
      <c r="J40" s="30"/>
      <c r="K40" s="23"/>
      <c r="L40" s="23"/>
      <c r="M40" s="23"/>
      <c r="N40" s="23"/>
      <c r="O40" s="33">
        <f t="shared" si="0"/>
        <v>180</v>
      </c>
      <c r="P40" s="86">
        <f t="shared" si="1"/>
        <v>0</v>
      </c>
    </row>
    <row r="41" spans="1:16" ht="15">
      <c r="A41" s="29" t="s">
        <v>2</v>
      </c>
      <c r="B41" s="26"/>
      <c r="C41" s="30"/>
      <c r="D41" s="30"/>
      <c r="E41" s="30"/>
      <c r="F41" s="30"/>
      <c r="G41" s="30"/>
      <c r="H41" s="30"/>
      <c r="I41" s="30"/>
      <c r="J41" s="30"/>
      <c r="K41" s="23"/>
      <c r="L41" s="23"/>
      <c r="M41" s="23"/>
      <c r="N41" s="23"/>
      <c r="O41" s="33">
        <f t="shared" si="0"/>
        <v>0</v>
      </c>
      <c r="P41" s="86">
        <f t="shared" si="1"/>
        <v>0</v>
      </c>
    </row>
    <row r="42" spans="1:16" ht="15">
      <c r="A42" s="29" t="s">
        <v>3</v>
      </c>
      <c r="B42" s="26" t="s">
        <v>66</v>
      </c>
      <c r="C42" s="30"/>
      <c r="D42" s="30"/>
      <c r="E42" s="30"/>
      <c r="F42" s="30"/>
      <c r="G42" s="30"/>
      <c r="H42" s="30"/>
      <c r="I42" s="30"/>
      <c r="J42" s="30"/>
      <c r="K42" s="23"/>
      <c r="L42" s="23"/>
      <c r="M42" s="23"/>
      <c r="N42" s="23"/>
      <c r="O42" s="33">
        <f t="shared" si="0"/>
        <v>0</v>
      </c>
      <c r="P42" s="86">
        <f t="shared" si="1"/>
        <v>0</v>
      </c>
    </row>
    <row r="43" spans="1:16" ht="15.75">
      <c r="A43" s="36" t="s">
        <v>59</v>
      </c>
      <c r="B43" s="26"/>
      <c r="C43" s="54">
        <f aca="true" t="shared" si="2" ref="C43:N43">SUM(C23:C42)</f>
        <v>4878.4824</v>
      </c>
      <c r="D43" s="54">
        <f t="shared" si="2"/>
        <v>9824.121426</v>
      </c>
      <c r="E43" s="54">
        <f t="shared" si="2"/>
        <v>2776</v>
      </c>
      <c r="F43" s="54">
        <f t="shared" si="2"/>
        <v>1041.1</v>
      </c>
      <c r="G43" s="54">
        <f t="shared" si="2"/>
        <v>3035</v>
      </c>
      <c r="H43" s="54">
        <f t="shared" si="2"/>
        <v>1040.83</v>
      </c>
      <c r="I43" s="54">
        <f t="shared" si="2"/>
        <v>0</v>
      </c>
      <c r="J43" s="54">
        <f t="shared" si="2"/>
        <v>242.81</v>
      </c>
      <c r="K43" s="54">
        <f t="shared" si="2"/>
        <v>400</v>
      </c>
      <c r="L43" s="54">
        <f t="shared" si="2"/>
        <v>635.4</v>
      </c>
      <c r="M43" s="54">
        <f t="shared" si="2"/>
        <v>9107</v>
      </c>
      <c r="N43" s="54">
        <f t="shared" si="2"/>
        <v>4563.53</v>
      </c>
      <c r="O43" s="87">
        <f>SUM(O23:O42)</f>
        <v>20196.4824</v>
      </c>
      <c r="P43" s="87">
        <f>SUM(P23:P42)</f>
        <v>17347.791426</v>
      </c>
    </row>
    <row r="44" ht="18.75" customHeight="1">
      <c r="P44" s="92"/>
    </row>
    <row r="45" spans="1:14" ht="15">
      <c r="A45" s="27"/>
      <c r="B45" s="39"/>
      <c r="C45" s="40"/>
      <c r="D45" s="40"/>
      <c r="E45" s="40"/>
      <c r="F45" s="40"/>
      <c r="G45" s="40"/>
      <c r="H45" s="40"/>
      <c r="I45" s="40"/>
      <c r="J45" s="40"/>
      <c r="K45" s="27"/>
      <c r="L45" s="27"/>
      <c r="M45" s="27"/>
      <c r="N45" s="27"/>
    </row>
    <row r="46" spans="1:16" ht="15">
      <c r="A46" s="27"/>
      <c r="B46" s="39"/>
      <c r="C46" s="40"/>
      <c r="D46" s="40"/>
      <c r="E46" s="40"/>
      <c r="F46" s="40"/>
      <c r="G46" s="40"/>
      <c r="H46" s="40"/>
      <c r="I46" s="40"/>
      <c r="J46" s="40"/>
      <c r="K46" s="27"/>
      <c r="L46" s="27"/>
      <c r="M46" s="27"/>
      <c r="N46" s="27"/>
      <c r="P46" s="92">
        <f>'РАЗХОДИ ПО КМЕТСТВА'!AH27-Благово!P43</f>
        <v>0</v>
      </c>
    </row>
    <row r="47" spans="1:14" ht="15.75">
      <c r="A47" s="4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4" ht="15.75">
      <c r="A48" s="41"/>
      <c r="B48" s="39"/>
      <c r="C48" s="40"/>
      <c r="D48" s="40"/>
      <c r="E48" s="40"/>
      <c r="F48" s="40"/>
      <c r="G48" s="40"/>
      <c r="H48" s="40"/>
      <c r="I48" s="40"/>
      <c r="J48" s="40"/>
      <c r="K48" s="47"/>
      <c r="L48" s="47"/>
      <c r="M48" s="27"/>
      <c r="N48" s="27"/>
    </row>
    <row r="49" spans="1:14" ht="14.25" customHeight="1">
      <c r="A49" s="27"/>
      <c r="B49" s="39"/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1"/>
      <c r="N49" s="41"/>
    </row>
    <row r="50" spans="1:14" ht="4.5" customHeight="1">
      <c r="A50" s="27"/>
      <c r="B50" s="39"/>
      <c r="C50" s="40"/>
      <c r="D50" s="40"/>
      <c r="E50" s="40"/>
      <c r="F50" s="40"/>
      <c r="G50" s="40"/>
      <c r="H50" s="40"/>
      <c r="I50" s="40"/>
      <c r="J50" s="40"/>
      <c r="K50" s="27"/>
      <c r="L50" s="27"/>
      <c r="M50" s="27"/>
      <c r="N50" s="27"/>
    </row>
    <row r="51" spans="1:14" ht="15.75">
      <c r="A51" s="47"/>
      <c r="B51" s="39"/>
      <c r="C51" s="40"/>
      <c r="D51" s="40"/>
      <c r="E51" s="40"/>
      <c r="F51" s="40"/>
      <c r="G51" s="40"/>
      <c r="H51" s="40"/>
      <c r="I51" s="40"/>
      <c r="J51" s="40"/>
      <c r="K51" s="27"/>
      <c r="L51" s="27"/>
      <c r="M51" s="27"/>
      <c r="N51" s="27"/>
    </row>
    <row r="52" spans="1:14" ht="15">
      <c r="A52" s="41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6" customHeight="1">
      <c r="A53" s="2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6.75" customHeight="1">
      <c r="A54" s="27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15.75">
      <c r="A55" s="47"/>
      <c r="B55" s="42"/>
      <c r="C55" s="40"/>
      <c r="D55" s="40"/>
      <c r="E55" s="40"/>
      <c r="F55" s="40"/>
      <c r="G55" s="43"/>
      <c r="H55" s="43"/>
      <c r="I55" s="43"/>
      <c r="J55" s="43"/>
      <c r="K55" s="44"/>
      <c r="L55" s="44"/>
      <c r="M55" s="27"/>
      <c r="N55" s="27"/>
    </row>
    <row r="56" spans="1:14" ht="15">
      <c r="A56" s="41"/>
      <c r="B56" s="42"/>
      <c r="C56" s="40"/>
      <c r="D56" s="40"/>
      <c r="E56" s="40"/>
      <c r="F56" s="40"/>
      <c r="G56" s="43"/>
      <c r="H56" s="43"/>
      <c r="I56" s="43"/>
      <c r="J56" s="43"/>
      <c r="K56" s="27"/>
      <c r="L56" s="27"/>
      <c r="M56" s="27"/>
      <c r="N56" s="27"/>
    </row>
    <row r="57" spans="1:14" ht="15">
      <c r="A57" s="27"/>
      <c r="B57" s="39"/>
      <c r="C57" s="40"/>
      <c r="D57" s="40"/>
      <c r="E57" s="40"/>
      <c r="F57" s="40"/>
      <c r="G57" s="40"/>
      <c r="H57" s="40"/>
      <c r="I57" s="40"/>
      <c r="J57" s="40"/>
      <c r="K57" s="27"/>
      <c r="L57" s="27"/>
      <c r="M57" s="27"/>
      <c r="N57" s="27"/>
    </row>
    <row r="58" spans="1:14" ht="15.75">
      <c r="A58" s="48"/>
      <c r="B58" s="49"/>
      <c r="C58" s="50"/>
      <c r="D58" s="50"/>
      <c r="E58" s="40"/>
      <c r="F58" s="40"/>
      <c r="G58" s="40"/>
      <c r="H58" s="40"/>
      <c r="I58" s="40"/>
      <c r="J58" s="40"/>
      <c r="K58" s="27"/>
      <c r="L58" s="27"/>
      <c r="M58" s="27"/>
      <c r="N58" s="27"/>
    </row>
    <row r="59" spans="1:14" ht="15">
      <c r="A59" s="45"/>
      <c r="B59" s="46"/>
      <c r="C59" s="41"/>
      <c r="D59" s="41"/>
      <c r="E59" s="40"/>
      <c r="F59" s="40"/>
      <c r="G59" s="40"/>
      <c r="H59" s="40"/>
      <c r="I59" s="40"/>
      <c r="J59" s="40"/>
      <c r="K59" s="27"/>
      <c r="L59" s="27"/>
      <c r="M59" s="27"/>
      <c r="N59" s="27"/>
    </row>
  </sheetData>
  <sheetProtection/>
  <mergeCells count="19">
    <mergeCell ref="A2:O2"/>
    <mergeCell ref="A3:O3"/>
    <mergeCell ref="A19:O19"/>
    <mergeCell ref="A20:A21"/>
    <mergeCell ref="B20:B21"/>
    <mergeCell ref="C21:D21"/>
    <mergeCell ref="E21:F21"/>
    <mergeCell ref="C20:F20"/>
    <mergeCell ref="O20:P21"/>
    <mergeCell ref="G21:H21"/>
    <mergeCell ref="H8:M8"/>
    <mergeCell ref="H9:M9"/>
    <mergeCell ref="G20:H20"/>
    <mergeCell ref="K21:L21"/>
    <mergeCell ref="K20:L20"/>
    <mergeCell ref="M21:N21"/>
    <mergeCell ref="M20:N20"/>
    <mergeCell ref="I20:J20"/>
    <mergeCell ref="I21:J21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B30">
      <selection activeCell="L49" sqref="L49"/>
    </sheetView>
  </sheetViews>
  <sheetFormatPr defaultColWidth="9.140625" defaultRowHeight="12.75"/>
  <cols>
    <col min="1" max="1" width="41.00390625" style="0" customWidth="1"/>
    <col min="2" max="2" width="13.140625" style="3" customWidth="1"/>
    <col min="3" max="3" width="12.28125" style="8" customWidth="1"/>
    <col min="4" max="4" width="12.57421875" style="8" customWidth="1"/>
    <col min="5" max="5" width="12.28125" style="8" customWidth="1"/>
    <col min="6" max="6" width="11.7109375" style="8" customWidth="1"/>
    <col min="7" max="7" width="11.421875" style="8" customWidth="1"/>
    <col min="8" max="10" width="11.57421875" style="8" customWidth="1"/>
    <col min="11" max="11" width="9.8515625" style="0" customWidth="1"/>
    <col min="12" max="12" width="11.28125" style="0" customWidth="1"/>
    <col min="13" max="13" width="11.57421875" style="0" customWidth="1"/>
    <col min="14" max="14" width="12.57421875" style="0" bestFit="1" customWidth="1"/>
    <col min="15" max="15" width="10.8515625" style="0" bestFit="1" customWidth="1"/>
    <col min="16" max="16" width="12.28125" style="0" customWidth="1"/>
    <col min="20" max="20" width="11.57421875" style="0" bestFit="1" customWidth="1"/>
  </cols>
  <sheetData>
    <row r="1" ht="18">
      <c r="A1" s="20"/>
    </row>
    <row r="2" spans="1:15" ht="15.75">
      <c r="A2" s="139" t="s">
        <v>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7.25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10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530</v>
      </c>
      <c r="O8" s="9"/>
    </row>
    <row r="9" spans="1:15" ht="34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6582</v>
      </c>
      <c r="D10" s="23">
        <v>5403</v>
      </c>
      <c r="E10" s="23">
        <f>SUM(C10:D10)</f>
        <v>11985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10361</v>
      </c>
      <c r="D12" s="23">
        <f>SUM(D13:D14)</f>
        <v>5904</v>
      </c>
      <c r="E12" s="23">
        <f>SUM(C12:D12)</f>
        <v>16265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10361</v>
      </c>
      <c r="D13" s="23">
        <v>5904</v>
      </c>
      <c r="E13" s="23">
        <f>SUM(C13:D13)</f>
        <v>16265</v>
      </c>
      <c r="F13" s="23"/>
      <c r="G13" s="9"/>
      <c r="H13" s="9"/>
      <c r="I13" s="9"/>
      <c r="J13" s="9"/>
      <c r="K13" s="9"/>
      <c r="L13" s="9"/>
      <c r="M13" s="19"/>
      <c r="N13" s="1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12209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16943</v>
      </c>
      <c r="D16" s="53">
        <f>D10+D12</f>
        <v>11307</v>
      </c>
      <c r="E16" s="53">
        <f>E10+E12+E15</f>
        <v>40459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0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0" customHeight="1">
      <c r="A22" s="142" t="s">
        <v>38</v>
      </c>
      <c r="B22" s="169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.75" customHeight="1">
      <c r="A23" s="142"/>
      <c r="B23" s="174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2"/>
      <c r="B24" s="73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15492</v>
      </c>
      <c r="D25" s="76">
        <f>+'РАЗХОДИ ПО КМЕТСТВА'!AF21</f>
        <v>16988.93</v>
      </c>
      <c r="E25" s="79"/>
      <c r="F25" s="79"/>
      <c r="G25" s="79"/>
      <c r="H25" s="79"/>
      <c r="I25" s="79"/>
      <c r="J25" s="79"/>
      <c r="K25" s="80"/>
      <c r="L25" s="80"/>
      <c r="M25" s="81"/>
      <c r="N25" s="81"/>
      <c r="O25" s="33">
        <f>C25+E25+G25+K25+M25</f>
        <v>15492</v>
      </c>
      <c r="P25" s="33">
        <f>D25+F25+H25+L25+N25</f>
        <v>16988.93</v>
      </c>
    </row>
    <row r="26" spans="1:16" s="2" customFormat="1" ht="30">
      <c r="A26" s="29" t="s">
        <v>24</v>
      </c>
      <c r="B26" s="26" t="s">
        <v>25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29"/>
      <c r="N26" s="29"/>
      <c r="O26" s="33">
        <f aca="true" t="shared" si="0" ref="O26:O44">C26+E26+G26+K26+M26</f>
        <v>0</v>
      </c>
      <c r="P26" s="33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1"/>
      <c r="D27" s="31"/>
      <c r="E27" s="31"/>
      <c r="F27" s="31"/>
      <c r="G27" s="31"/>
      <c r="H27" s="31"/>
      <c r="I27" s="31"/>
      <c r="J27" s="31"/>
      <c r="K27" s="30">
        <v>400</v>
      </c>
      <c r="L27" s="30">
        <f>+'РАЗХОДИ ПО КМЕТСТВА'!S21</f>
        <v>180</v>
      </c>
      <c r="M27" s="29"/>
      <c r="N27" s="29"/>
      <c r="O27" s="33">
        <f t="shared" si="0"/>
        <v>400</v>
      </c>
      <c r="P27" s="33">
        <f t="shared" si="1"/>
        <v>180</v>
      </c>
    </row>
    <row r="28" spans="1:16" s="2" customFormat="1" ht="15">
      <c r="A28" s="29" t="s">
        <v>28</v>
      </c>
      <c r="B28" s="26" t="s">
        <v>27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29"/>
      <c r="N28" s="29"/>
      <c r="O28" s="33">
        <f t="shared" si="0"/>
        <v>0</v>
      </c>
      <c r="P28" s="33">
        <f t="shared" si="1"/>
        <v>0</v>
      </c>
    </row>
    <row r="29" spans="1:16" s="2" customFormat="1" ht="30">
      <c r="A29" s="29" t="s">
        <v>36</v>
      </c>
      <c r="B29" s="26" t="s">
        <v>37</v>
      </c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29"/>
      <c r="N29" s="29"/>
      <c r="O29" s="33">
        <f t="shared" si="0"/>
        <v>0</v>
      </c>
      <c r="P29" s="33">
        <f t="shared" si="1"/>
        <v>0</v>
      </c>
    </row>
    <row r="30" spans="1:16" s="2" customFormat="1" ht="30">
      <c r="A30" s="29" t="s">
        <v>35</v>
      </c>
      <c r="B30" s="26" t="s">
        <v>34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29"/>
      <c r="N30" s="29"/>
      <c r="O30" s="33">
        <f t="shared" si="0"/>
        <v>0</v>
      </c>
      <c r="P30" s="33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2977.5624</v>
      </c>
      <c r="D31" s="30">
        <f>+'РАЗХОДИ ПО КМЕТСТВА'!AE21</f>
        <v>3265.2723459999997</v>
      </c>
      <c r="E31" s="31"/>
      <c r="F31" s="31"/>
      <c r="G31" s="31"/>
      <c r="H31" s="31"/>
      <c r="I31" s="31"/>
      <c r="J31" s="31"/>
      <c r="K31" s="32"/>
      <c r="L31" s="30">
        <f>+'РАЗХОДИ ПО КМЕТСТВА'!T21</f>
        <v>9.49</v>
      </c>
      <c r="M31" s="29"/>
      <c r="N31" s="29"/>
      <c r="O31" s="33">
        <f t="shared" si="0"/>
        <v>2977.5624</v>
      </c>
      <c r="P31" s="33">
        <f t="shared" si="1"/>
        <v>3274.7623459999995</v>
      </c>
    </row>
    <row r="32" spans="1:16" s="2" customFormat="1" ht="15">
      <c r="A32" s="29" t="s">
        <v>19</v>
      </c>
      <c r="B32" s="26" t="s">
        <v>5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29"/>
      <c r="N32" s="29"/>
      <c r="O32" s="33">
        <f t="shared" si="0"/>
        <v>0</v>
      </c>
      <c r="P32" s="33">
        <f t="shared" si="1"/>
        <v>0</v>
      </c>
    </row>
    <row r="33" spans="1:16" s="2" customFormat="1" ht="15">
      <c r="A33" s="29" t="s">
        <v>20</v>
      </c>
      <c r="B33" s="26" t="s">
        <v>6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29"/>
      <c r="N33" s="29"/>
      <c r="O33" s="33">
        <f t="shared" si="0"/>
        <v>0</v>
      </c>
      <c r="P33" s="33">
        <f t="shared" si="1"/>
        <v>0</v>
      </c>
    </row>
    <row r="34" spans="1:16" s="2" customFormat="1" ht="15">
      <c r="A34" s="29" t="s">
        <v>21</v>
      </c>
      <c r="B34" s="26" t="s">
        <v>7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29"/>
      <c r="N34" s="29"/>
      <c r="O34" s="33">
        <f t="shared" si="0"/>
        <v>0</v>
      </c>
      <c r="P34" s="33">
        <f t="shared" si="1"/>
        <v>0</v>
      </c>
    </row>
    <row r="35" spans="1:16" s="2" customFormat="1" ht="30">
      <c r="A35" s="29" t="s">
        <v>22</v>
      </c>
      <c r="B35" s="26" t="s">
        <v>8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29"/>
      <c r="N35" s="29"/>
      <c r="O35" s="33">
        <f t="shared" si="0"/>
        <v>0</v>
      </c>
      <c r="P35" s="33">
        <f t="shared" si="1"/>
        <v>0</v>
      </c>
    </row>
    <row r="36" spans="1:16" s="2" customFormat="1" ht="15">
      <c r="A36" s="29" t="s">
        <v>23</v>
      </c>
      <c r="B36" s="26" t="s">
        <v>9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29"/>
      <c r="N36" s="29"/>
      <c r="O36" s="33">
        <f t="shared" si="0"/>
        <v>0</v>
      </c>
      <c r="P36" s="33">
        <f t="shared" si="1"/>
        <v>0</v>
      </c>
    </row>
    <row r="37" spans="1:16" s="2" customFormat="1" ht="15">
      <c r="A37" s="29" t="s">
        <v>29</v>
      </c>
      <c r="B37" s="26" t="s">
        <v>16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29"/>
      <c r="N37" s="29"/>
      <c r="O37" s="33">
        <f t="shared" si="0"/>
        <v>0</v>
      </c>
      <c r="P37" s="33">
        <f t="shared" si="1"/>
        <v>0</v>
      </c>
    </row>
    <row r="38" spans="1:16" s="2" customFormat="1" ht="15">
      <c r="A38" s="29" t="s">
        <v>30</v>
      </c>
      <c r="B38" s="26" t="s">
        <v>10</v>
      </c>
      <c r="C38" s="31"/>
      <c r="D38" s="31"/>
      <c r="E38" s="30">
        <v>200</v>
      </c>
      <c r="F38" s="30">
        <f>+'РАЗХОДИ ПО КМЕТСТВА'!F21+'РАЗХОДИ ПО КМЕТСТВА'!G21</f>
        <v>463.77</v>
      </c>
      <c r="G38" s="31"/>
      <c r="H38" s="31"/>
      <c r="I38" s="31"/>
      <c r="J38" s="31"/>
      <c r="K38" s="32"/>
      <c r="L38" s="32">
        <f>+'РАЗХОДИ ПО КМЕТСТВА'!R21</f>
        <v>45</v>
      </c>
      <c r="M38" s="29"/>
      <c r="N38" s="29"/>
      <c r="O38" s="33">
        <f t="shared" si="0"/>
        <v>200</v>
      </c>
      <c r="P38" s="33">
        <f t="shared" si="1"/>
        <v>508.77</v>
      </c>
    </row>
    <row r="39" spans="1:16" s="2" customFormat="1" ht="29.25" customHeight="1">
      <c r="A39" s="29" t="s">
        <v>62</v>
      </c>
      <c r="B39" s="26" t="s">
        <v>11</v>
      </c>
      <c r="C39" s="31"/>
      <c r="D39" s="31"/>
      <c r="E39" s="30">
        <v>1040</v>
      </c>
      <c r="F39" s="30">
        <f>+'РАЗХОДИ ПО КМЕТСТВА'!C21+'РАЗХОДИ ПО КМЕТСТВА'!D21+'РАЗХОДИ ПО КМЕТСТВА'!E21</f>
        <v>3135.62</v>
      </c>
      <c r="G39" s="30">
        <v>2961</v>
      </c>
      <c r="H39" s="30">
        <f>+'РАЗХОДИ ПО КМЕТСТВА'!N21</f>
        <v>2564.27</v>
      </c>
      <c r="I39" s="30"/>
      <c r="J39" s="30"/>
      <c r="K39" s="32"/>
      <c r="L39" s="32"/>
      <c r="M39" s="29"/>
      <c r="N39" s="29"/>
      <c r="O39" s="33">
        <f t="shared" si="0"/>
        <v>4001</v>
      </c>
      <c r="P39" s="33">
        <f t="shared" si="1"/>
        <v>5699.889999999999</v>
      </c>
    </row>
    <row r="40" spans="1:16" ht="30" customHeight="1">
      <c r="A40" s="29" t="s">
        <v>61</v>
      </c>
      <c r="B40" s="26" t="s">
        <v>12</v>
      </c>
      <c r="C40" s="31"/>
      <c r="D40" s="31"/>
      <c r="E40" s="30">
        <v>520</v>
      </c>
      <c r="F40" s="30">
        <f>+'РАЗХОДИ ПО КМЕТСТВА'!H21+'РАЗХОДИ ПО КМЕТСТВА'!I21+'РАЗХОДИ ПО КМЕТСТВА'!J21+'РАЗХОДИ ПО КМЕТСТВА'!K21</f>
        <v>784.81</v>
      </c>
      <c r="G40" s="31"/>
      <c r="H40" s="31"/>
      <c r="I40" s="31"/>
      <c r="J40" s="31">
        <f>+'РАЗХОДИ ПО КМЕТСТВА'!Y21</f>
        <v>874.92</v>
      </c>
      <c r="K40" s="22"/>
      <c r="L40" s="96">
        <f>+'РАЗХОДИ ПО КМЕТСТВА'!Q21</f>
        <v>1996.2</v>
      </c>
      <c r="M40" s="34">
        <v>9387</v>
      </c>
      <c r="N40" s="34">
        <f>+'РАЗХОДИ ПО КМЕТСТВА'!V21</f>
        <v>10352.130000000001</v>
      </c>
      <c r="O40" s="33">
        <f t="shared" si="0"/>
        <v>9907</v>
      </c>
      <c r="P40" s="33">
        <f>D40+F40+H40+L40+N40+J40</f>
        <v>14008.060000000001</v>
      </c>
    </row>
    <row r="41" spans="1:16" ht="15.75">
      <c r="A41" s="29" t="s">
        <v>31</v>
      </c>
      <c r="B41" s="26" t="s">
        <v>13</v>
      </c>
      <c r="C41" s="31"/>
      <c r="D41" s="31"/>
      <c r="E41" s="30">
        <v>4569</v>
      </c>
      <c r="F41" s="30"/>
      <c r="G41" s="21"/>
      <c r="H41" s="21"/>
      <c r="I41" s="21"/>
      <c r="J41" s="21"/>
      <c r="K41" s="22"/>
      <c r="L41" s="22"/>
      <c r="M41" s="35"/>
      <c r="N41" s="35"/>
      <c r="O41" s="33">
        <f t="shared" si="0"/>
        <v>4569</v>
      </c>
      <c r="P41" s="33">
        <f t="shared" si="1"/>
        <v>0</v>
      </c>
    </row>
    <row r="42" spans="1:16" ht="15">
      <c r="A42" s="29" t="s">
        <v>33</v>
      </c>
      <c r="B42" s="26" t="s">
        <v>15</v>
      </c>
      <c r="C42" s="31"/>
      <c r="D42" s="31"/>
      <c r="E42" s="30">
        <v>750</v>
      </c>
      <c r="F42" s="30">
        <f>+'РАЗХОДИ ПО КМЕТСТВА'!M21</f>
        <v>570</v>
      </c>
      <c r="G42" s="31"/>
      <c r="H42" s="31"/>
      <c r="I42" s="31"/>
      <c r="J42" s="31"/>
      <c r="K42" s="22"/>
      <c r="L42" s="22"/>
      <c r="M42" s="35"/>
      <c r="N42" s="35"/>
      <c r="O42" s="33">
        <f t="shared" si="0"/>
        <v>750</v>
      </c>
      <c r="P42" s="33">
        <f t="shared" si="1"/>
        <v>570</v>
      </c>
    </row>
    <row r="43" spans="1:16" ht="15">
      <c r="A43" s="29" t="s">
        <v>2</v>
      </c>
      <c r="B43" s="26"/>
      <c r="C43" s="31"/>
      <c r="D43" s="31"/>
      <c r="E43" s="31"/>
      <c r="F43" s="31"/>
      <c r="G43" s="31"/>
      <c r="H43" s="31"/>
      <c r="I43" s="31"/>
      <c r="J43" s="31"/>
      <c r="K43" s="22"/>
      <c r="L43" s="22"/>
      <c r="M43" s="35"/>
      <c r="N43" s="35"/>
      <c r="O43" s="33">
        <f t="shared" si="0"/>
        <v>0</v>
      </c>
      <c r="P43" s="33">
        <f t="shared" si="1"/>
        <v>0</v>
      </c>
    </row>
    <row r="44" spans="1:16" ht="15">
      <c r="A44" s="29" t="s">
        <v>3</v>
      </c>
      <c r="B44" s="26" t="s">
        <v>14</v>
      </c>
      <c r="C44" s="28"/>
      <c r="D44" s="28"/>
      <c r="E44" s="28"/>
      <c r="F44" s="28"/>
      <c r="G44" s="28"/>
      <c r="H44" s="28"/>
      <c r="I44" s="28"/>
      <c r="J44" s="28"/>
      <c r="K44" s="35"/>
      <c r="L44" s="35"/>
      <c r="M44" s="35"/>
      <c r="N44" s="35"/>
      <c r="O44" s="33">
        <f t="shared" si="0"/>
        <v>0</v>
      </c>
      <c r="P44" s="33">
        <f t="shared" si="1"/>
        <v>0</v>
      </c>
    </row>
    <row r="45" spans="1:16" ht="15.75">
      <c r="A45" s="36" t="s">
        <v>59</v>
      </c>
      <c r="B45" s="25"/>
      <c r="C45" s="37">
        <f aca="true" t="shared" si="2" ref="C45:O45">SUM(C25:C44)</f>
        <v>18469.5624</v>
      </c>
      <c r="D45" s="37">
        <f t="shared" si="2"/>
        <v>20254.202346</v>
      </c>
      <c r="E45" s="37">
        <f t="shared" si="2"/>
        <v>7079</v>
      </c>
      <c r="F45" s="37">
        <f t="shared" si="2"/>
        <v>4954.2</v>
      </c>
      <c r="G45" s="37">
        <f t="shared" si="2"/>
        <v>2961</v>
      </c>
      <c r="H45" s="37">
        <f t="shared" si="2"/>
        <v>2564.27</v>
      </c>
      <c r="I45" s="37">
        <f t="shared" si="2"/>
        <v>0</v>
      </c>
      <c r="J45" s="37">
        <f t="shared" si="2"/>
        <v>874.92</v>
      </c>
      <c r="K45" s="37">
        <f t="shared" si="2"/>
        <v>400</v>
      </c>
      <c r="L45" s="37">
        <f t="shared" si="2"/>
        <v>2230.69</v>
      </c>
      <c r="M45" s="37">
        <f t="shared" si="2"/>
        <v>9387</v>
      </c>
      <c r="N45" s="37">
        <f t="shared" si="2"/>
        <v>10352.130000000001</v>
      </c>
      <c r="O45" s="38">
        <f t="shared" si="2"/>
        <v>38296.562399999995</v>
      </c>
      <c r="P45" s="38">
        <f>SUM(P25:P44)</f>
        <v>41230.412346</v>
      </c>
    </row>
    <row r="46" spans="1:16" ht="10.5" customHeight="1">
      <c r="A46" s="27"/>
      <c r="B46" s="39"/>
      <c r="C46" s="40"/>
      <c r="D46" s="40"/>
      <c r="E46" s="40"/>
      <c r="F46" s="40"/>
      <c r="G46" s="40"/>
      <c r="H46" s="40"/>
      <c r="I46" s="40"/>
      <c r="J46" s="40"/>
      <c r="K46" s="27"/>
      <c r="L46" s="27"/>
      <c r="M46" s="27"/>
      <c r="N46" s="27"/>
      <c r="O46" s="27"/>
      <c r="P46" s="27"/>
    </row>
    <row r="47" spans="1:16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  <c r="P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  <c r="P48" s="105">
        <f>'РАЗХОДИ ПО КМЕТСТВА'!AH21-Черенча!P45</f>
        <v>0</v>
      </c>
    </row>
    <row r="49" spans="1:16" ht="15.75" customHeight="1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  <c r="O49" s="27"/>
      <c r="P49" s="27"/>
    </row>
    <row r="50" spans="1:16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  <c r="P50" s="27"/>
    </row>
    <row r="51" spans="1:16" ht="12.7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27"/>
      <c r="P51" s="27"/>
    </row>
    <row r="52" spans="1:16" ht="11.2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  <c r="P52" s="27"/>
    </row>
    <row r="53" spans="1:16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  <c r="P53" s="27"/>
    </row>
    <row r="54" spans="1:16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  <c r="P54" s="27"/>
    </row>
    <row r="55" spans="1:16" ht="9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  <c r="P55" s="27"/>
    </row>
    <row r="56" spans="1:16" ht="4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  <c r="P56" s="27"/>
    </row>
    <row r="57" spans="1:16" ht="15" customHeight="1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  <c r="O57" s="27"/>
      <c r="P57" s="27"/>
    </row>
    <row r="58" spans="1:16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  <c r="P58" s="27"/>
    </row>
    <row r="59" spans="1:16" ht="10.5" customHeight="1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  <c r="P59" s="27"/>
    </row>
    <row r="60" spans="1:16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  <c r="P60" s="27"/>
    </row>
    <row r="61" spans="1:16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  <c r="P61" s="27"/>
    </row>
    <row r="62" spans="3:4" ht="12.75">
      <c r="C62"/>
      <c r="D62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7">
      <selection activeCell="F51" sqref="F51"/>
    </sheetView>
  </sheetViews>
  <sheetFormatPr defaultColWidth="9.140625" defaultRowHeight="12.75"/>
  <cols>
    <col min="1" max="1" width="32.7109375" style="0" customWidth="1"/>
    <col min="2" max="2" width="13.7109375" style="3" customWidth="1"/>
    <col min="3" max="3" width="14.7109375" style="8" customWidth="1"/>
    <col min="4" max="5" width="14.28125" style="8" customWidth="1"/>
    <col min="6" max="6" width="15.00390625" style="8" bestFit="1" customWidth="1"/>
    <col min="7" max="7" width="13.140625" style="8" customWidth="1"/>
    <col min="8" max="8" width="16.00390625" style="8" customWidth="1"/>
    <col min="9" max="9" width="10.7109375" style="8" customWidth="1"/>
    <col min="10" max="10" width="14.57421875" style="8" customWidth="1"/>
    <col min="11" max="11" width="12.7109375" style="0" customWidth="1"/>
    <col min="12" max="12" width="16.140625" style="0" bestFit="1" customWidth="1"/>
    <col min="13" max="13" width="14.28125" style="0" customWidth="1"/>
    <col min="14" max="14" width="16.140625" style="0" bestFit="1" customWidth="1"/>
    <col min="15" max="15" width="13.421875" style="0" customWidth="1"/>
    <col min="16" max="16" width="19.7109375" style="0" customWidth="1"/>
    <col min="18" max="18" width="14.57421875" style="0" customWidth="1"/>
    <col min="19" max="19" width="9.140625" style="0" customWidth="1"/>
    <col min="20" max="20" width="11.57421875" style="0" customWidth="1"/>
    <col min="21" max="21" width="9.140625" style="0" customWidth="1"/>
  </cols>
  <sheetData>
    <row r="1" ht="25.5" customHeight="1">
      <c r="A1" s="20"/>
    </row>
    <row r="2" spans="1:15" ht="15.75">
      <c r="A2" s="139" t="s">
        <v>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2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.75" customHeight="1">
      <c r="A6" s="9" t="s">
        <v>45</v>
      </c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f>Белокопитово!N8+Благово!N8+'Васил Друмев'!N8+Велино!N8+Ветрище!N8+Вехтово!N8+Градище!N8+Дибич!N8+Дивдядово!N8+Друмево!N8+Ивански!N8+'Илия Блъсково'!N8+Кладенец!N8+Коньовец!N8+'Костена река'!N8+Лозево!N8+Мадара!N8+Мараш!N8+'Мътница '!N8+Макак!N8+Новосел!N8+Овчарово!N8+'Панайот Волов'!N8+'Радко Димитриево'!N8+Салманово!N8+Средня!N8+Струйно!N8+'Царев Брод'!N8+Черенча!N8</f>
        <v>13930</v>
      </c>
      <c r="O8" s="9"/>
    </row>
    <row r="9" spans="1:15" ht="27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f>Белокопитово!N10+Благово!N9+'Васил Друмев'!N9+Велино!N9+Ветрище!N9+Вехтово!N9+Градище!N9+Дибич!N9+Дивдядово!N9+Друмево!N9+Ивански!N9+'Илия Блъсково'!N9+Кладенец!N9+Коньовец!N9+'Костена река'!N9+Лозево!N9+Мадара!N9+Мараш!N9+'Мътница '!N9+Макак!N9+Новосел!N9+Овчарово!N9+'Панайот Волов'!N9+'Радко Димитриево'!N9+Салманово!N9+Средня!N9+Струйно!N9+'Царев Брод'!N9+Черенча!N9</f>
        <v>48</v>
      </c>
      <c r="O9" s="9"/>
    </row>
    <row r="10" spans="1:15" ht="15.75">
      <c r="A10" s="11" t="s">
        <v>46</v>
      </c>
      <c r="B10" s="4" t="s">
        <v>47</v>
      </c>
      <c r="C10" s="77">
        <f>Белокопитово!C10+Благово!C10+'Васил Друмев'!C10+Велино!C10+Ветрище!C10+Вехтово!C10+Градище!C10+Дибич!C10+Дивдядово!C10+Друмево!C10+Ивански!C10+'Илия Блъсково'!C10+Кладенец!C10+Коньовец!C10+'Костена река'!C10+Лозево!C10+Мадара!C10+Мараш!C10+'Мътница '!C10+Макак!C10+Новосел!C10+Овчарово!C10+'Панайот Волов'!C10+'Радко Димитриево'!C10+Салманово!C10+Средня!C10+Струйно!C10+'Царев Брод'!C10+Черенча!C10</f>
        <v>439113</v>
      </c>
      <c r="D10" s="23">
        <f>Белокопитово!D10+Благово!D10+'Васил Друмев'!D10+Велино!D10+Ветрище!D10+Вехтово!D10+Градище!D10+Дибич!D10+Дивдядово!D10+Друмево!D10+Ивански!D10+'Илия Блъсково'!D10+Кладенец!D10+Коньовец!D10+'Костена река'!D10+Лозево!D10+Мадара!D10+Мараш!D10+'Мътница '!D10+Макак!D10+Новосел!D10+Овчарово!D10+'Панайот Волов'!D10+'Радко Димитриево'!D10+Салманово!D10+Средня!D10+Струйно!D10+'Царев Брод'!D10+Черенча!D10</f>
        <v>445765</v>
      </c>
      <c r="E10" s="23">
        <f>SUM(C10:D10)</f>
        <v>884878</v>
      </c>
      <c r="F10" s="23">
        <f>Белокопитово!F10+Благово!F10+'Васил Друмев'!F10+Велино!F10+Ветрище!F10+Вехтово!F10+Градище!F10+Дибич!F10+Дивдядово!F10+Друмево!F10+Ивански!F10+'Илия Блъсково'!F10+Кладенец!F10+Коньовец!F10+'Костена река'!F10+Лозево!F10+Мадара!F10+Мараш!F10+'Мътница '!F10+Макак!F10+Новосел!F10+Овчарово!F10+'Панайот Волов'!F10+'Радко Димитриево'!F10+Салманово!F10+Средня!F10+Струйно!F10+'Царев Брод'!F10+Черенча!F10</f>
        <v>8057.92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535868</v>
      </c>
      <c r="D12" s="23">
        <f>SUM(D13:D14)</f>
        <v>492318</v>
      </c>
      <c r="E12" s="23">
        <f>SUM(C12:D12)</f>
        <v>1028186</v>
      </c>
      <c r="F12" s="23">
        <f>SUM(F13:F14)</f>
        <v>9913.395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f>Белокопитово!C13+Благово!C13+'Васил Друмев'!C13+Велино!C13+Ветрище!C13+Вехтово!C13+Градище!C13+Дибич!C13+Дивдядово!C13+Друмево!C13+Ивански!C13+'Илия Блъсково'!C13+Кладенец!C13+Коньовец!C13+'Костена река'!C13+Лозево!C13+Мадара!C13+Мараш!C13+'Мътница '!C13+Макак!C13+Новосел!C13+Овчарово!C13+'Панайот Волов'!C13+'Радко Димитриево'!C13+Салманово!C13+Средня!C13+Струйно!C13+'Царев Брод'!C13+Черенча!C13</f>
        <v>535868</v>
      </c>
      <c r="D13" s="23">
        <f>Белокопитово!D13+Благово!D13+'Васил Друмев'!D13+Велино!D13+Ветрище!D13+Вехтово!D13+Градище!D13+Дибич!D13+Дивдядово!D13+Друмево!D13+Ивански!D13+'Илия Блъсково'!D13+Кладенец!D13+Коньовец!D13+'Костена река'!D13+Лозево!D13+Мадара!D13+Мараш!D13+'Мътница '!D13+Макак!D13+Новосел!D13+Овчарово!D13+'Панайот Волов'!D13+'Радко Димитриево'!D13+Салманово!D13+Средня!D13+Струйно!D13+'Царев Брод'!D13+Черенча!D13</f>
        <v>492318</v>
      </c>
      <c r="E13" s="23">
        <f>SUM(C13:D13)</f>
        <v>1028186</v>
      </c>
      <c r="F13" s="23">
        <f>Белокопитово!F13+Благово!F13+'Васил Друмев'!F13+Велино!F13+Ветрище!F13+Вехтово!F13+Градище!F13+Дибич!F13+Дивдядово!F13+Друмево!F13+Ивански!F13+'Илия Блъсково'!F13+Кладенец!F13+Коньовец!F13+'Костена река'!F13+Лозево!F13+Мадара!F13+Мараш!F13+'Мътница '!F13+Макак!F13+Новосел!F13+Овчарово!F13+'Панайот Волов'!F13+'Радко Димитриево'!F13+Салманово!F13+Средня!F13+Струйно!F13+'Царев Брод'!F13+Черенча!F13</f>
        <v>9913.395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f>Белокопитово!E15+Благово!E15+'Васил Друмев'!E15+Велино!E15+Ветрище!E15+Вехтово!E15+Градище!E15+Дибич!E15+Дивдядово!E15+Друмево!E15+Ивански!E15+'Илия Блъсково'!E15+Кладенец!E15+Коньовец!E15+'Костена река'!E15+Лозево!E15+Мадара!E15+Мараш!E15+'Мътница '!E15+Макак!E15+Новосел!E15+Овчарово!E15+'Панайот Волов'!E15+'Радко Димитриево'!E15+Салманово!E15+Средня!E15+Струйно!E15+'Царев Брод'!E15+Черенча!E15</f>
        <v>381990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974981</v>
      </c>
      <c r="D16" s="53">
        <f>D10+D12</f>
        <v>938083</v>
      </c>
      <c r="E16" s="53">
        <f>E10+E12</f>
        <v>1913064</v>
      </c>
      <c r="F16" s="53">
        <f>F10+F12</f>
        <v>17971.315000000002</v>
      </c>
      <c r="G16" s="15"/>
      <c r="H16" s="15"/>
      <c r="I16" s="15"/>
      <c r="J16" s="9"/>
      <c r="K16" s="9">
        <v>2018</v>
      </c>
      <c r="L16" s="9"/>
      <c r="M16" s="15"/>
      <c r="N16" s="15"/>
      <c r="O16" s="15"/>
    </row>
    <row r="17" spans="1:15" ht="12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9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83.25" customHeight="1">
      <c r="A22" s="141" t="s">
        <v>38</v>
      </c>
      <c r="B22" s="169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7.25" customHeight="1">
      <c r="A23" s="141"/>
      <c r="B23" s="174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1.5" customHeight="1">
      <c r="A24" s="71"/>
      <c r="B24" s="73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8" s="2" customFormat="1" ht="45">
      <c r="A25" s="29" t="s">
        <v>1</v>
      </c>
      <c r="B25" s="26" t="s">
        <v>17</v>
      </c>
      <c r="C25" s="77">
        <f>Белокопитово!C22+Благово!C23+'Васил Друмев'!C23+Велино!C25+Ветрище!C25+Вехтово!C25+Градище!C25+Дибич!C25+Дивдядово!C25+Друмево!C25+Ивански!C25+'Илия Блъсково'!C25+Кладенец!C25+Коньовец!C25+'Костена река'!C25+Лозево!C25+Мадара!C25+Мараш!C25+'Мътница '!C25+Макак!C25+Новосел!C25+Овчарово!C25+'Панайот Волов'!C25+'Радко Димитриево'!C25+Салманово!C25+Средня!C25+Струйно!C25+'Царев Брод'!C25+Черенча!C25</f>
        <v>386149</v>
      </c>
      <c r="D25" s="77">
        <f>Белокопитово!D22+Благово!D23+'Васил Друмев'!D23+Велино!D25+Ветрище!D25+Вехтово!D25+Градище!D25+Дибич!D25+Дивдядово!D25+Друмево!D25+Ивански!D25+'Илия Блъсково'!D25+Кладенец!D25+Коньовец!D25+'Костена река'!D25+Лозево!D25+Мадара!D25+Мараш!D25+'Мътница '!D25+Макак!D25+Новосел!D25+Овчарово!D25+'Панайот Волов'!D25+'Радко Димитриево'!D25+Салманово!D25+Средня!D25+Струйно!D25+'Царев Брод'!D25+Черенча!D25</f>
        <v>421516.07</v>
      </c>
      <c r="E25" s="77">
        <f>Белокопитово!D22+Благово!E23+'Васил Друмев'!E23+Велино!E25+Ветрище!E25+Вехтово!E25+Градище!E25+Дибич!E25+Дивдядово!E25+Друмево!E25+Ивански!E25+'Илия Блъсково'!E25+Кладенец!E25+Коньовец!E25+'Костена река'!E25+Лозево!E25+Мадара!E25+Мараш!E25+'Мътница '!E25+Макак!E25+Новосел!E25+Овчарово!E25+'Панайот Волов'!E25+'Радко Димитриево'!E25+Салманово!E25+Средня!E25+Струйно!E25+'Царев Брод'!E25+Черенча!E25</f>
        <v>13201.97</v>
      </c>
      <c r="F25" s="77">
        <f>Белокопитово!F22+Благово!F23+'Васил Друмев'!F23+Велино!F25+Ветрище!F25+Вехтово!F25+Градище!F25+Дибич!F25+Дивдядово!F25+Друмево!F25+Ивански!F25+'Илия Блъсково'!F25+Кладенец!F25+Коньовец!F25+'Костена река'!F25+Лозево!F25+Мадара!F25+Мараш!F25+'Мътница '!F25+Макак!F25+Новосел!F25+Овчарово!F25+'Панайот Волов'!F25+'Радко Димитриево'!F25+Салманово!F25+Средня!F25+Струйно!F25+'Царев Брод'!F25+Черенча!F25</f>
        <v>0</v>
      </c>
      <c r="G25" s="77">
        <f>Белокопитово!G22+Благово!G23+'Васил Друмев'!G23+Велино!G25+Ветрище!G25+Вехтово!G25+Градище!G25+Дибич!G25+Дивдядово!G25+Друмево!G25+Ивански!G25+'Илия Блъсково'!G25+Кладенец!G25+Коньовец!G25+'Костена река'!G25+Лозево!G25+Мадара!G25+Мараш!G25+'Мътница '!G25+Макак!G25+Новосел!G25+Овчарово!G25+'Панайот Волов'!G25+'Радко Димитриево'!G25+Салманово!G25+Средня!G25+Струйно!G25+'Царев Брод'!G25+Черенча!G25</f>
        <v>0</v>
      </c>
      <c r="H25" s="77">
        <f>Белокопитово!H22+Благово!H23+'Васил Друмев'!H23+Велино!H25+Ветрище!H25+Вехтово!H25+Градище!H25+Дибич!H25+Дивдядово!H25+Друмево!H25+Ивански!H25+'Илия Блъсково'!H25+Кладенец!H25+Коньовец!H25+'Костена река'!H25+Лозево!H25+Мадара!H25+Мараш!H25+'Мътница '!H25+Макак!H25+Новосел!H25+Овчарово!H25+'Панайот Волов'!H25+'Радко Димитриево'!H25+Салманово!H25+Средня!H25+Струйно!H25+'Царев Брод'!H25+Черенча!H25</f>
        <v>0</v>
      </c>
      <c r="I25" s="77"/>
      <c r="J25" s="77"/>
      <c r="K25" s="77">
        <f>Белокопитово!K22+Благово!K23+'Васил Друмев'!K23+Велино!K25+Ветрище!K25+Вехтово!K25+Градище!K25+Дибич!K25+Дивдядово!K25+Друмево!K25+Ивански!K25+'Илия Блъсково'!K25+Кладенец!K25+Коньовец!K25+'Костена река'!K25+Лозево!K25+Мадара!K25+Мараш!K25+'Мътница '!K25+Макак!K25+Новосел!K25+Овчарово!K25+'Панайот Волов'!K25+'Радко Димитриево'!K25+Салманово!K25+Средня!K25+Струйно!K25+'Царев Брод'!K25+Черенча!K25</f>
        <v>0</v>
      </c>
      <c r="L25" s="77">
        <f>Белокопитово!L22+Благово!L23+'Васил Друмев'!L23+Велино!L25+Ветрище!L25+Вехтово!L25+Градище!L25+Дибич!L25+Дивдядово!L25+Друмево!L25+Ивански!L25+'Илия Блъсково'!L25+Кладенец!L25+Коньовец!L25+'Костена река'!L25+Лозево!L25+Мадара!L25+Мараш!L25+'Мътница '!L25+Макак!L25+Новосел!L25+Овчарово!L25+'Панайот Волов'!L25+'Радко Димитриево'!L25+Салманово!L25+Средня!L25+Струйно!L25+'Царев Брод'!L25+Черенча!L25</f>
        <v>0</v>
      </c>
      <c r="M25" s="77">
        <f>Белокопитово!K22+Благово!M23+'Васил Друмев'!M23+Велино!M25+Ветрище!M25+Вехтово!M25+Градище!M25+Дибич!M25+Дивдядово!M25+Друмево!M25+Ивански!M25+'Илия Блъсково'!M25+Кладенец!M25+Коньовец!M25+'Костена река'!M25+Лозево!M25+Мадара!M25+Мараш!M25+'Мътница '!M25+Макак!M25+Новосел!M25+Овчарово!M25+'Панайот Волов'!M25+'Радко Димитриево'!M25+Салманово!M25+Средня!M25+Струйно!M25+'Царев Брод'!M25+Черенча!M25</f>
        <v>0</v>
      </c>
      <c r="N25" s="77">
        <f>Белокопитово!N22+Благово!N23+'Васил Друмев'!N23+Велино!N25+Ветрище!N25+Вехтово!N25+Градище!N25+Дибич!N25+Дивдядово!N25+Друмево!N25+Ивански!N25+'Илия Блъсково'!N25+Кладенец!N25+Коньовец!N25+'Костена река'!N25+Лозево!N25+Мадара!N25+Мараш!N25+'Мътница '!N25+Макак!N25+Новосел!N25+Овчарово!N25+'Панайот Волов'!N25+'Радко Димитриево'!N25+Салманово!N25+Средня!N25+Струйно!N25+'Царев Брод'!N25+Черенча!N25</f>
        <v>0</v>
      </c>
      <c r="O25" s="30">
        <f>Белокопитово!O22+Благово!O23+'Васил Друмев'!O23+Велино!O25+Ветрище!O25+Вехтово!O25+Градище!O25+Дибич!O25+Дивдядово!O25+Друмево!O25+Ивански!O25+'Илия Блъсково'!O25+Кладенец!O25+Коньовец!O25+'Костена река'!O25+Лозево!O25+Мадара!O25+Мараш!O25+'Мътница '!O25+Макак!O25+Новосел!O25+Овчарово!O25+'Панайот Волов'!O25+'Радко Димитриево'!O25+Салманово!O25+Средня!O25+Струйно!O25+'Царев Брод'!O25+Черенча!O25</f>
        <v>386149</v>
      </c>
      <c r="P25" s="85">
        <f>Белокопитово!P22+Благово!P23+'Васил Друмев'!P23+Велино!P25+Ветрище!P25+Вехтово!P25+Градище!P25+Дибич!P25+Дивдядово!P25+Друмево!P25+Ивански!P25+'Илия Блъсково'!P25+Кладенец!P25+Коньовец!P25+'Костена река'!P25+Лозево!P25+Мадара!P25+Мараш!P25+'Мътница '!P25+Макак!P25+Новосел!P25+Овчарово!P25+'Панайот Волов'!P25+'Радко Димитриево'!P25+Салманово!P25+Средня!P25+Струйно!P25+'Царев Брод'!P25+Черенча!P25</f>
        <v>421516.07</v>
      </c>
      <c r="R25" s="123">
        <f>P25-'РАЗХОДИ ПО КМЕТСТВА'!AF35</f>
        <v>0</v>
      </c>
    </row>
    <row r="26" spans="1:18" s="2" customFormat="1" ht="30">
      <c r="A26" s="29" t="s">
        <v>24</v>
      </c>
      <c r="B26" s="26" t="s">
        <v>25</v>
      </c>
      <c r="C26" s="33">
        <f>Белокопитово!C23+Благово!C24+'Васил Друмев'!C24+Велино!C26+Ветрище!C26+Вехтово!C26+Градище!C26+Дибич!C26+Дивдядово!C26+Друмево!C26+Ивански!C26+'Илия Блъсково'!C26+Кладенец!C26+Коньовец!C26+'Костена река'!C26+Лозево!C26+Мадара!C26+Мараш!C26+'Мътница '!C26+Макак!C26+Новосел!C26+Овчарово!C26+'Панайот Волов'!C26+'Радко Димитриево'!C26+Салманово!C26+Средня!C26+Струйно!C26+'Царев Брод'!C26+Черенча!C26</f>
        <v>0</v>
      </c>
      <c r="D26" s="77">
        <f>Белокопитово!D23+Благово!D24+'Васил Друмев'!D24+Велино!D26+Ветрище!D26+Вехтово!D26+Градище!D26+Дибич!D26+Дивдядово!D26+Друмево!D26+Ивански!D26+'Илия Блъсково'!D26+Кладенец!D26+Коньовец!D26+'Костена река'!D26+Лозево!D26+Мадара!D26+Мараш!D26+'Мътница '!D26+Макак!D26+Новосел!D26+Овчарово!D26+'Панайот Волов'!D26+'Радко Димитриево'!D26+Салманово!D26+Средня!D26+Струйно!D26+'Царев Брод'!D26+Черенча!D26</f>
        <v>0</v>
      </c>
      <c r="E26" s="33">
        <f>Белокопитово!D23+Благово!E24+'Васил Друмев'!E24+Велино!E26+Ветрище!E26+Вехтово!E26+Градище!E26+Дибич!E26+Дивдядово!E26+Друмево!E26+Ивански!E26+'Илия Блъсково'!E26+Кладенец!E26+Коньовец!E26+'Костена река'!E26+Лозево!E26+Мадара!E26+Мараш!E26+'Мътница '!E26+Макак!E26+Новосел!E26+Овчарово!E26+'Панайот Волов'!E26+'Радко Димитриево'!E26+Салманово!E26+Средня!E26+Струйно!E26+'Царев Брод'!E26+Черенча!E26</f>
        <v>0</v>
      </c>
      <c r="F26" s="77">
        <f>Белокопитово!F23+Благово!F24+'Васил Друмев'!F24+Велино!F26+Ветрище!F26+Вехтово!F26+Градище!F26+Дибич!F26+Дивдядово!F26+Друмево!F26+Ивански!F26+'Илия Блъсково'!F26+Кладенец!F26+Коньовец!F26+'Костена река'!F26+Лозево!F26+Мадара!F26+Мараш!F26+'Мътница '!F26+Макак!F26+Новосел!F26+Овчарово!F26+'Панайот Волов'!F26+'Радко Димитриево'!F26+Салманово!F26+Средня!F26+Струйно!F26+'Царев Брод'!F26+Черенча!F26</f>
        <v>0</v>
      </c>
      <c r="G26" s="77">
        <f>Белокопитово!G23+Благово!G24+'Васил Друмев'!G24+Велино!G26+Ветрище!G26+Вехтово!G26+Градище!G26+Дибич!G26+Дивдядово!G26+Друмево!G26+Ивански!G26+'Илия Блъсково'!G26+Кладенец!G26+Коньовец!G26+'Костена река'!G26+Лозево!G26+Мадара!G26+Мараш!G26+'Мътница '!G26+Макак!G26+Новосел!G26+Овчарово!G26+'Панайот Волов'!G26+'Радко Димитриево'!G26+Салманово!G26+Средня!G26+Струйно!G26+'Царев Брод'!G26+Черенча!G26</f>
        <v>0</v>
      </c>
      <c r="H26" s="77">
        <f>Белокопитово!H23+Благово!H24+'Васил Друмев'!H24+Велино!H26+Ветрище!H26+Вехтово!H26+Градище!H26+Дибич!H26+Дивдядово!H26+Друмево!H26+Ивански!H26+'Илия Блъсково'!H26+Кладенец!H26+Коньовец!H26+'Костена река'!H26+Лозево!H26+Мадара!H26+Мараш!H26+'Мътница '!H26+Макак!H26+Новосел!H26+Овчарово!H26+'Панайот Волов'!H26+'Радко Димитриево'!H26+Салманово!H26+Средня!H26+Струйно!H26+'Царев Брод'!H26+Черенча!H26</f>
        <v>0</v>
      </c>
      <c r="I26" s="77"/>
      <c r="J26" s="77"/>
      <c r="K26" s="33">
        <f>Белокопитово!K23+Благово!K24+'Васил Друмев'!K24+Велино!K26+Ветрище!K26+Вехтово!K26+Градище!K26+Дибич!K26+Дивдядово!K26+Друмево!K26+Ивански!K26+'Илия Блъсково'!K26+Кладенец!K26+Коньовец!K26+'Костена река'!K26+Лозево!K26+Мадара!K26+Мараш!K26+'Мътница '!K26+Макак!K26+Новосел!K26+Овчарово!K26+'Панайот Волов'!K26+'Радко Димитриево'!K26+Салманово!K26+Средня!K26+Струйно!K26+'Царев Брод'!K26+Черенча!K26</f>
        <v>0</v>
      </c>
      <c r="L26" s="77">
        <f>Белокопитово!L23+Благово!L24+'Васил Друмев'!L24+Велино!L26+Ветрище!L26+Вехтово!L26+Градище!L26+Дибич!L26+Дивдядово!L26+Друмево!L26+Ивански!L26+'Илия Блъсково'!L26+Кладенец!L26+Коньовец!L26+'Костена река'!L26+Лозево!L26+Мадара!L26+Мараш!L26+'Мътница '!L26+Макак!L26+Новосел!L26+Овчарово!L26+'Панайот Волов'!L26+'Радко Димитриево'!L26+Салманово!L26+Средня!L26+Струйно!L26+'Царев Брод'!L26+Черенча!L26</f>
        <v>0</v>
      </c>
      <c r="M26" s="33">
        <f>Белокопитово!K23+Благово!M24+'Васил Друмев'!M24+Велино!M26+Ветрище!M26+Вехтово!M26+Градище!M26+Дибич!M26+Дивдядово!M26+Друмево!M26+Ивански!M26+'Илия Блъсково'!M26+Кладенец!M26+Коньовец!M26+'Костена река'!M26+Лозево!M26+Мадара!M26+Мараш!M26+'Мътница '!M26+Макак!M26+Новосел!M26+Овчарово!M26+'Панайот Волов'!M26+'Радко Димитриево'!M26+Салманово!M26+Средня!M26+Струйно!M26+'Царев Брод'!M26+Черенча!M26</f>
        <v>0</v>
      </c>
      <c r="N26" s="77">
        <f>Белокопитово!N23+Благово!N24+'Васил Друмев'!N24+Велино!N26+Ветрище!N26+Вехтово!N26+Градище!N26+Дибич!N26+Дивдядово!N26+Друмево!N26+Ивански!N26+'Илия Блъсково'!N26+Кладенец!N26+Коньовец!N26+'Костена река'!N26+Лозево!N26+Мадара!N26+Мараш!N26+'Мътница '!N26+Макак!N26+Новосел!N26+Овчарово!N26+'Панайот Волов'!N26+'Радко Димитриево'!N26+Салманово!N26+Средня!N26+Струйно!N26+'Царев Брод'!N26+Черенча!N26</f>
        <v>0</v>
      </c>
      <c r="O26" s="30">
        <f>Белокопитово!O23+Благово!O24+'Васил Друмев'!O24+Велино!O26+Ветрище!O26+Вехтово!O26+Градище!O26+Дибич!O26+Дивдядово!O26+Друмево!O26+Ивански!O26+'Илия Блъсково'!O26+Кладенец!O26+Коньовец!O26+'Костена река'!O26+Лозево!O26+Мадара!O26+Мараш!O26+'Мътница '!O26+Макак!O26+Новосел!O26+Овчарово!O26+'Панайот Волов'!O26+'Радко Димитриево'!O26+Салманово!O26+Средня!O26+Струйно!O26+'Царев Брод'!O26+Черенча!O26</f>
        <v>0</v>
      </c>
      <c r="P26" s="85">
        <f>Белокопитово!P23+Благово!P24+'Васил Друмев'!P24+Велино!P26+Ветрище!P26+Вехтово!P26+Градище!P26+Дибич!P26+Дивдядово!P26+Друмево!P26+Ивански!P26+'Илия Блъсково'!P26+Кладенец!P26+Коньовец!P26+'Костена река'!P26+Лозево!P26+Мадара!P26+Мараш!P26+'Мътница '!P26+Макак!P26+Новосел!P26+Овчарово!P26+'Панайот Волов'!P26+'Радко Димитриево'!P26+Салманово!P26+Средня!P26+Струйно!P26+'Царев Брод'!P26+Черенча!P26</f>
        <v>0</v>
      </c>
      <c r="R26" s="123"/>
    </row>
    <row r="27" spans="1:18" s="2" customFormat="1" ht="45">
      <c r="A27" s="29" t="s">
        <v>32</v>
      </c>
      <c r="B27" s="26" t="s">
        <v>26</v>
      </c>
      <c r="C27" s="33">
        <f>Белокопитово!C24+Благово!C25+'Васил Друмев'!C25+Велино!C27+Ветрище!C27+Вехтово!C27+Градище!C27+Дибич!C27+Дивдядово!C27+Друмево!C27+Ивански!C27+'Илия Блъсково'!C27+Кладенец!C27+Коньовец!C27+'Костена река'!C27+Лозево!C27+Мадара!C27+Мараш!C27+'Мътница '!C27+Макак!C27+Новосел!C27+Овчарово!C27+'Панайот Волов'!C27+'Радко Димитриево'!C27+Салманово!C27+Средня!C27+Струйно!C27+'Царев Брод'!C27+Черенча!C27</f>
        <v>0</v>
      </c>
      <c r="D27" s="77">
        <f>Белокопитово!D24+Благово!D25+'Васил Друмев'!D25+Велино!D27+Ветрище!D27+Вехтово!D27+Градище!D27+Дибич!D27+Дивдядово!D27+Друмево!D27+Ивански!D27+'Илия Блъсково'!D27+Кладенец!D27+Коньовец!D27+'Костена река'!D27+Лозево!D27+Мадара!D27+Мараш!D27+'Мътница '!D27+Макак!D27+Новосел!D27+Овчарово!D27+'Панайот Волов'!D27+'Радко Димитриево'!D27+Салманово!D27+Средня!D27+Струйно!D27+'Царев Брод'!D27+Черенча!D27</f>
        <v>0</v>
      </c>
      <c r="E27" s="33">
        <f>Белокопитово!D24+Благово!E25+'Васил Друмев'!E25+Велино!E27+Ветрище!E27+Вехтово!E27+Градище!E27+Дибич!E27+Дивдядово!E27+Друмево!E27+Ивански!E27+'Илия Блъсково'!E27+Кладенец!E27+Коньовец!E27+'Костена река'!E27+Лозево!E27+Мадара!E27+Мараш!E27+'Мътница '!E27+Макак!E27+Новосел!E27+Овчарово!E27+'Панайот Волов'!E27+'Радко Димитриево'!E27+Салманово!E27+Средня!E27+Струйно!E27+'Царев Брод'!E27+Черенча!E27</f>
        <v>0</v>
      </c>
      <c r="F27" s="77">
        <f>Белокопитово!F24+Благово!F25+'Васил Друмев'!F25+Велино!F27+Ветрище!F27+Вехтово!F27+Градище!F27+Дибич!F27+Дивдядово!F27+Друмево!F27+Ивански!F27+'Илия Блъсково'!F27+Кладенец!F27+Коньовец!F27+'Костена река'!F27+Лозево!F27+Мадара!F27+Мараш!F27+'Мътница '!F27+Макак!F27+Новосел!F27+Овчарово!F27+'Панайот Волов'!F27+'Радко Димитриево'!F27+Салманово!F27+Средня!F27+Струйно!F27+'Царев Брод'!F27+Черенча!F27</f>
        <v>0</v>
      </c>
      <c r="G27" s="77">
        <f>Белокопитово!G24+Благово!G25+'Васил Друмев'!G25+Велино!G27+Ветрище!G27+Вехтово!G27+Градище!G27+Дибич!G27+Дивдядово!G27+Друмево!G27+Ивански!G27+'Илия Блъсково'!G27+Кладенец!G27+Коньовец!G27+'Костена река'!G27+Лозево!G27+Мадара!G27+Мараш!G27+'Мътница '!G27+Макак!G27+Новосел!G27+Овчарово!G27+'Панайот Волов'!G27+'Радко Димитриево'!G27+Салманово!G27+Средня!G27+Струйно!G27+'Царев Брод'!G27+Черенча!G27</f>
        <v>0</v>
      </c>
      <c r="H27" s="77">
        <f>Белокопитово!H24+Благово!H25+'Васил Друмев'!H25+Велино!H27+Ветрище!H27+Вехтово!H27+Градище!H27+Дибич!H27+Дивдядово!H27+Друмево!H27+Ивански!H27+'Илия Блъсково'!H27+Кладенец!H27+Коньовец!H27+'Костена река'!H27+Лозево!H27+Мадара!H27+Мараш!H27+'Мътница '!H27+Макак!H27+Новосел!H27+Овчарово!H27+'Панайот Волов'!H27+'Радко Димитриево'!H27+Салманово!H27+Средня!H27+Струйно!H27+'Царев Брод'!H27+Черенча!H27</f>
        <v>0</v>
      </c>
      <c r="I27" s="77"/>
      <c r="J27" s="77"/>
      <c r="K27" s="33">
        <f>Белокопитово!K24+Благово!K25+'Васил Друмев'!K25+Велино!K27+Ветрище!K27+Вехтово!K27+Градище!K27+Дибич!K27+Дивдядово!K27+Друмево!K27+Ивански!K27+'Илия Блъсково'!K27+Кладенец!K27+Коньовец!K27+'Костена река'!K27+Лозево!K27+Мадара!K27+Мараш!K27+'Мътница '!K27+Макак!K27+Новосел!K27+Овчарово!K27+'Панайот Волов'!K27+'Радко Димитриево'!K27+Салманово!K27+Средня!K27+Струйно!K27+'Царев Брод'!K27+Черенча!K27</f>
        <v>11600</v>
      </c>
      <c r="L27" s="77">
        <f>Белокопитово!L24+Благово!L25+'Васил Друмев'!L25+Велино!L27+Ветрище!L27+Вехтово!L27+Градище!L27+Дибич!L27+Дивдядово!L27+Друмево!L27+Ивански!L27+'Илия Блъсково'!L27+Кладенец!L27+Коньовец!L27+'Костена река'!L27+Лозево!L27+Мадара!L27+Мараш!L27+'Мътница '!L27+Макак!L27+Новосел!L27+Овчарово!L27+'Панайот Волов'!L27+'Радко Димитриево'!L27+Салманово!L27+Средня!L27+Струйно!L27+'Царев Брод'!L27+Черенча!L27</f>
        <v>330</v>
      </c>
      <c r="M27" s="33">
        <f>Белокопитово!M24+Благово!M25+'Васил Друмев'!M25+Велино!M27+Ветрище!M27+Вехтово!M27+Градище!M27+Дибич!M27+Дивдядово!M27+Друмево!M27+Ивански!M27+'Илия Блъсково'!M27+Кладенец!M27+Коньовец!M27+'Костена река'!M27+Лозево!M27+Мадара!M27+Мараш!M27+'Мътница '!M27+Макак!M27+Новосел!M27+Овчарово!M27+'Панайот Волов'!M27+'Радко Димитриево'!M27+Салманово!M27+Средня!M27+Струйно!M27+'Царев Брод'!M27+Черенча!M27</f>
        <v>0</v>
      </c>
      <c r="N27" s="77">
        <f>Белокопитово!N24+Благово!N25+'Васил Друмев'!N25+Велино!N27+Ветрище!N27+Вехтово!N27+Градище!N27+Дибич!N27+Дивдядово!N27+Друмево!N27+Ивански!N27+'Илия Блъсково'!N27+Кладенец!N27+Коньовец!N27+'Костена река'!N27+Лозево!N27+Мадара!N27+Мараш!N27+'Мътница '!N27+Макак!N27+Новосел!N27+Овчарово!N27+'Панайот Волов'!N27+'Радко Димитриево'!N27+Салманово!N27+Средня!N27+Струйно!N27+'Царев Брод'!N27+Черенча!N27</f>
        <v>0</v>
      </c>
      <c r="O27" s="30">
        <f>Белокопитово!O24+Благово!O25+'Васил Друмев'!O25+Велино!O27+Ветрище!O27+Вехтово!O27+Градище!O27+Дибич!O27+Дивдядово!O27+Друмево!O27+Ивански!O27+'Илия Блъсково'!O27+Кладенец!O27+Коньовец!O27+'Костена река'!O27+Лозево!O27+Мадара!O27+Мараш!O27+'Мътница '!O27+Макак!O27+Новосел!O27+Овчарово!O27+'Панайот Волов'!O27+'Радко Димитриево'!O27+Салманово!O27+Средня!O27+Струйно!O27+'Царев Брод'!O27+Черенча!O27</f>
        <v>11600</v>
      </c>
      <c r="P27" s="85">
        <f>Белокопитово!P24+Благово!P25+'Васил Друмев'!P25+Велино!P27+Ветрище!P27+Вехтово!P27+Градище!P27+Дибич!P27+Дивдядово!P27+Друмево!P27+Ивански!P27+'Илия Блъсково'!P27+Кладенец!P27+Коньовец!P27+'Костена река'!P27+Лозево!P27+Мадара!P27+Мараш!P27+'Мътница '!P27+Макак!P27+Новосел!P27+Овчарово!P27+'Панайот Волов'!P27+'Радко Димитриево'!P27+Салманово!P27+Средня!P27+Струйно!P27+'Царев Брод'!P27+Черенча!P27</f>
        <v>330</v>
      </c>
      <c r="R27" s="123">
        <f>P27-'РАЗХОДИ ПО КМЕТСТВА'!S35</f>
        <v>0</v>
      </c>
    </row>
    <row r="28" spans="1:18" s="2" customFormat="1" ht="15">
      <c r="A28" s="29" t="s">
        <v>28</v>
      </c>
      <c r="B28" s="26" t="s">
        <v>27</v>
      </c>
      <c r="C28" s="33">
        <f>Белокопитово!C25+Благово!C26+'Васил Друмев'!C26+Велино!C28+Ветрище!C28+Вехтово!C28+Градище!C28+Дибич!C28+Дивдядово!C28+Друмево!C28+Ивански!C28+'Илия Блъсково'!C28+Кладенец!C28+Коньовец!C28+'Костена река'!C28+Лозево!C28+Мадара!C28+Мараш!C28+'Мътница '!C28+Макак!C28+Новосел!C28+Овчарово!C28+'Панайот Волов'!C28+'Радко Димитриево'!C28+Салманово!C28+Средня!C28+Струйно!C28+'Царев Брод'!C28+Черенча!C28</f>
        <v>350</v>
      </c>
      <c r="D28" s="77">
        <f>Белокопитово!D25+Благово!D26+'Васил Друмев'!D26+Велино!D28+Ветрище!D28+Вехтово!D28+Градище!D28+Дибич!D28+Дивдядово!D28+Друмево!D28+Ивански!D28+'Илия Блъсково'!D28+Кладенец!D28+Коньовец!D28+'Костена река'!D28+Лозево!D28+Мадара!D28+Мараш!D28+'Мътница '!D28+Макак!D28+Новосел!D28+Овчарово!D28+'Панайот Волов'!D28+'Радко Димитриево'!D28+Салманово!D28+Средня!D28+Струйно!D28+'Царев Брод'!D28+Черенча!D28</f>
        <v>0</v>
      </c>
      <c r="E28" s="33">
        <f>Белокопитово!D25+Благово!E26+'Васил Друмев'!E26+Велино!E28+Ветрище!E28+Вехтово!E28+Градище!E28+Дибич!E28+Дивдядово!E28+Друмево!E28+Ивански!E28+'Илия Блъсково'!E28+Кладенец!E28+Коньовец!E28+'Костена река'!E28+Лозево!E28+Мадара!E28+Мараш!E28+'Мътница '!E28+Макак!E28+Новосел!E28+Овчарово!E28+'Панайот Волов'!E28+'Радко Димитриево'!E28+Салманово!E28+Средня!E28+Струйно!E28+'Царев Брод'!E28+Черенча!E28</f>
        <v>0</v>
      </c>
      <c r="F28" s="77">
        <f>Белокопитово!F25+Благово!F26+'Васил Друмев'!F26+Велино!F28+Ветрище!F28+Вехтово!F28+Градище!F28+Дибич!F28+Дивдядово!F28+Друмево!F28+Ивански!F28+'Илия Блъсково'!F28+Кладенец!F28+Коньовец!F28+'Костена река'!F28+Лозево!F28+Мадара!F28+Мараш!F28+'Мътница '!F28+Макак!F28+Новосел!F28+Овчарово!F28+'Панайот Волов'!F28+'Радко Димитриево'!F28+Салманово!F28+Средня!F28+Струйно!F28+'Царев Брод'!F28+Черенча!F28</f>
        <v>0</v>
      </c>
      <c r="G28" s="77">
        <f>Белокопитово!G25+Благово!G26+'Васил Друмев'!G26+Велино!G28+Ветрище!G28+Вехтово!G28+Градище!G28+Дибич!G28+Дивдядово!G28+Друмево!G28+Ивански!G28+'Илия Блъсково'!G28+Кладенец!G28+Коньовец!G28+'Костена река'!G28+Лозево!G28+Мадара!G28+Мараш!G28+'Мътница '!G28+Макак!G28+Новосел!G28+Овчарово!G28+'Панайот Волов'!G28+'Радко Димитриево'!G28+Салманово!G28+Средня!G28+Струйно!G28+'Царев Брод'!G28+Черенча!G28</f>
        <v>0</v>
      </c>
      <c r="H28" s="77">
        <f>Белокопитово!H25+Благово!H26+'Васил Друмев'!H26+Велино!H28+Ветрище!H28+Вехтово!H28+Градище!H28+Дибич!H28+Дивдядово!H28+Друмево!H28+Ивански!H28+'Илия Блъсково'!H28+Кладенец!H28+Коньовец!H28+'Костена река'!H28+Лозево!H28+Мадара!H28+Мараш!H28+'Мътница '!H28+Макак!H28+Новосел!H28+Овчарово!H28+'Панайот Волов'!H28+'Радко Димитриево'!H28+Салманово!H28+Средня!H28+Струйно!H28+'Царев Брод'!H28+Черенча!H28</f>
        <v>0</v>
      </c>
      <c r="I28" s="77"/>
      <c r="J28" s="77"/>
      <c r="K28" s="33">
        <f>Белокопитово!K25+Благово!K26+'Васил Друмев'!K26+Велино!K28+Ветрище!K28+Вехтово!K28+Градище!K28+Дибич!K28+Дивдядово!K28+Друмево!K28+Ивански!K28+'Илия Блъсково'!K28+Кладенец!K28+Коньовец!K28+'Костена река'!K28+Лозево!K28+Мадара!K28+Мараш!K28+'Мътница '!K28+Макак!K28+Новосел!K28+Овчарово!K28+'Панайот Волов'!K28+'Радко Димитриево'!K28+Салманово!K28+Средня!K28+Струйно!K28+'Царев Брод'!K28+Черенча!K28</f>
        <v>0</v>
      </c>
      <c r="L28" s="77">
        <f>Белокопитово!L25+Благово!L26+'Васил Друмев'!L26+Велино!L28+Ветрище!L28+Вехтово!L28+Градище!L28+Дибич!L28+Дивдядово!L28+Друмево!L28+Ивански!L28+'Илия Блъсково'!L28+Кладенец!L28+Коньовец!L28+'Костена река'!L28+Лозево!L28+Мадара!L28+Мараш!L28+'Мътница '!L28+Макак!L28+Новосел!L28+Овчарово!L28+'Панайот Волов'!L28+'Радко Димитриево'!L28+Салманово!L28+Средня!L28+Струйно!L28+'Царев Брод'!L28+Черенча!L28</f>
        <v>0</v>
      </c>
      <c r="M28" s="33">
        <f>Белокопитово!K25+Благово!M26+'Васил Друмев'!M26+Велино!M28+Ветрище!M28+Вехтово!M28+Градище!M28+Дибич!M28+Дивдядово!M28+Друмево!M28+Ивански!M28+'Илия Блъсково'!M28+Кладенец!M28+Коньовец!M28+'Костена река'!M28+Лозево!M28+Мадара!M28+Мараш!M28+'Мътница '!M28+Макак!M28+Новосел!M28+Овчарово!M28+'Панайот Волов'!M28+'Радко Димитриево'!M28+Салманово!M28+Средня!M28+Струйно!M28+'Царев Брод'!M28+Черенча!M28</f>
        <v>0</v>
      </c>
      <c r="N28" s="77">
        <f>Белокопитово!N25+Благово!N26+'Васил Друмев'!N26+Велино!N28+Ветрище!N28+Вехтово!N28+Градище!N28+Дибич!N28+Дивдядово!N28+Друмево!N28+Ивански!N28+'Илия Блъсково'!N28+Кладенец!N28+Коньовец!N28+'Костена река'!N28+Лозево!N28+Мадара!N28+Мараш!N28+'Мътница '!N28+Макак!N28+Новосел!N28+Овчарово!N28+'Панайот Волов'!N28+'Радко Димитриево'!N28+Салманово!N28+Средня!N28+Струйно!N28+'Царев Брод'!N28+Черенча!N28</f>
        <v>0</v>
      </c>
      <c r="O28" s="30">
        <f>Белокопитово!O25+Благово!O26+'Васил Друмев'!O26+Велино!O28+Ветрище!O28+Вехтово!O28+Градище!O28+Дибич!O28+Дивдядово!O28+Друмево!O28+Ивански!O28+'Илия Блъсково'!O28+Кладенец!O28+Коньовец!O28+'Костена река'!O28+Лозево!O28+Мадара!O28+Мараш!O28+'Мътница '!O28+Макак!O28+Новосел!O28+Овчарово!O28+'Панайот Волов'!O28+'Радко Димитриево'!O28+Салманово!O28+Средня!O28+Струйно!O28+'Царев Брод'!O28+Черенча!O28</f>
        <v>350</v>
      </c>
      <c r="P28" s="85">
        <f>Белокопитово!P25+Благово!P26+'Васил Друмев'!P26+Велино!P28+Ветрище!P28+Вехтово!P28+Градище!P28+Дибич!P28+Дивдядово!P28+Друмево!P28+Ивански!P28+'Илия Блъсково'!P28+Кладенец!P28+Коньовец!P28+'Костена река'!P28+Лозево!P28+Мадара!P28+Мараш!P28+'Мътница '!P28+Макак!P28+Новосел!P28+Овчарово!P28+'Панайот Волов'!P28+'Радко Димитриево'!P28+Салманово!P28+Средня!P28+Струйно!P28+'Царев Брод'!P28+Черенча!P28</f>
        <v>0</v>
      </c>
      <c r="R28" s="123"/>
    </row>
    <row r="29" spans="1:18" s="2" customFormat="1" ht="30">
      <c r="A29" s="29" t="s">
        <v>36</v>
      </c>
      <c r="B29" s="26" t="s">
        <v>37</v>
      </c>
      <c r="C29" s="33">
        <f>Белокопитово!C26+Благово!C27+'Васил Друмев'!C27+Велино!C29+Ветрище!C29+Вехтово!C29+Градище!C29+Дибич!C29+Дивдядово!C29+Друмево!C29+Ивански!C29+'Илия Блъсково'!C29+Кладенец!C29+Коньовец!C29+'Костена река'!C29+Лозево!C29+Мадара!C29+Мараш!C29+'Мътница '!C29+Макак!C29+Новосел!C29+Овчарово!C29+'Панайот Волов'!C29+'Радко Димитриево'!C29+Салманово!C29+Средня!C29+Струйно!C29+'Царев Брод'!C29+Черенча!C29</f>
        <v>0</v>
      </c>
      <c r="D29" s="77">
        <f>Белокопитово!D26+Благово!D27+'Васил Друмев'!D27+Велино!D29+Ветрище!D29+Вехтово!D29+Градище!D29+Дибич!D29+Дивдядово!D29+Друмево!D29+Ивански!D29+'Илия Блъсково'!D29+Кладенец!D29+Коньовец!D29+'Костена река'!D29+Лозево!D29+Мадара!D29+Мараш!D29+'Мътница '!D29+Макак!D29+Новосел!D29+Овчарово!D29+'Панайот Волов'!D29+'Радко Димитриево'!D29+Салманово!D29+Средня!D29+Струйно!D29+'Царев Брод'!D29+Черенча!D29</f>
        <v>0</v>
      </c>
      <c r="E29" s="33">
        <f>Белокопитово!D26+Благово!E27+'Васил Друмев'!E27+Велино!E29+Ветрище!E29+Вехтово!E29+Градище!E29+Дибич!E29+Дивдядово!E29+Друмево!E29+Ивански!E29+'Илия Блъсково'!E29+Кладенец!E29+Коньовец!E29+'Костена река'!E29+Лозево!E29+Мадара!E29+Мараш!E29+'Мътница '!E29+Макак!E29+Новосел!E29+Овчарово!E29+'Панайот Волов'!E29+'Радко Димитриево'!E29+Салманово!E29+Средня!E29+Струйно!E29+'Царев Брод'!E29+Черенча!E29</f>
        <v>0</v>
      </c>
      <c r="F29" s="77">
        <f>Белокопитово!F26+Благово!F27+'Васил Друмев'!F27+Велино!F29+Ветрище!F29+Вехтово!F29+Градище!F29+Дибич!F29+Дивдядово!F29+Друмево!F29+Ивански!F29+'Илия Блъсково'!F29+Кладенец!F29+Коньовец!F29+'Костена река'!F29+Лозево!F29+Мадара!F29+Мараш!F29+'Мътница '!F29+Макак!F29+Новосел!F29+Овчарово!F29+'Панайот Волов'!F29+'Радко Димитриево'!F29+Салманово!F29+Средня!F29+Струйно!F29+'Царев Брод'!F29+Черенча!F29</f>
        <v>0</v>
      </c>
      <c r="G29" s="77">
        <f>Белокопитово!G26+Благово!G27+'Васил Друмев'!G27+Велино!G29+Ветрище!G29+Вехтово!G29+Градище!G29+Дибич!G29+Дивдядово!G29+Друмево!G29+Ивански!G29+'Илия Блъсково'!G29+Кладенец!G29+Коньовец!G29+'Костена река'!G29+Лозево!G29+Мадара!G29+Мараш!G29+'Мътница '!G29+Макак!G29+Новосел!G29+Овчарово!G29+'Панайот Волов'!G29+'Радко Димитриево'!G29+Салманово!G29+Средня!G29+Струйно!G29+'Царев Брод'!G29+Черенча!G29</f>
        <v>0</v>
      </c>
      <c r="H29" s="77">
        <f>Белокопитово!H26+Благово!H27+'Васил Друмев'!H27+Велино!H29+Ветрище!H29+Вехтово!H29+Градище!H29+Дибич!H29+Дивдядово!H29+Друмево!H29+Ивански!H29+'Илия Блъсково'!H29+Кладенец!H29+Коньовец!H29+'Костена река'!H29+Лозево!H29+Мадара!H29+Мараш!H29+'Мътница '!H29+Макак!H29+Новосел!H29+Овчарово!H29+'Панайот Волов'!H29+'Радко Димитриево'!H29+Салманово!H29+Средня!H29+Струйно!H29+'Царев Брод'!H29+Черенча!H29</f>
        <v>0</v>
      </c>
      <c r="I29" s="77"/>
      <c r="J29" s="77"/>
      <c r="K29" s="33">
        <f>Белокопитово!K26+Благово!K27+'Васил Друмев'!K27+Велино!K29+Ветрище!K29+Вехтово!K29+Градище!K29+Дибич!K29+Дивдядово!K29+Друмево!K29+Ивански!K29+'Илия Блъсково'!K29+Кладенец!K29+Коньовец!K29+'Костена река'!K29+Лозево!K29+Мадара!K29+Мараш!K29+'Мътница '!K29+Макак!K29+Новосел!K29+Овчарово!K29+'Панайот Волов'!K29+'Радко Димитриево'!K29+Салманово!K29+Средня!K29+Струйно!K29+'Царев Брод'!K29+Черенча!K29</f>
        <v>0</v>
      </c>
      <c r="L29" s="77">
        <f>Белокопитово!L26+Благово!L27+'Васил Друмев'!L27+Велино!L29+Ветрище!L29+Вехтово!L29+Градище!L29+Дибич!L29+Дивдядово!L29+Друмево!L29+Ивански!L29+'Илия Блъсково'!L29+Кладенец!L29+Коньовец!L29+'Костена река'!L29+Лозево!L29+Мадара!L29+Мараш!L29+'Мътница '!L29+Макак!L29+Новосел!L29+Овчарово!L29+'Панайот Волов'!L29+'Радко Димитриево'!L29+Салманово!L29+Средня!L29+Струйно!L29+'Царев Брод'!L29+Черенча!L29</f>
        <v>0</v>
      </c>
      <c r="M29" s="33">
        <f>Белокопитово!K26+Благово!M27+'Васил Друмев'!M27+Велино!M29+Ветрище!M29+Вехтово!M29+Градище!M29+Дибич!M29+Дивдядово!M29+Друмево!M29+Ивански!M29+'Илия Блъсково'!M29+Кладенец!M29+Коньовец!M29+'Костена река'!M29+Лозево!M29+Мадара!M29+Мараш!M29+'Мътница '!M29+Макак!M29+Новосел!M29+Овчарово!M29+'Панайот Волов'!M29+'Радко Димитриево'!M29+Салманово!M29+Средня!M29+Струйно!M29+'Царев Брод'!M29+Черенча!M29</f>
        <v>0</v>
      </c>
      <c r="N29" s="77">
        <f>Белокопитово!N26+Благово!N27+'Васил Друмев'!N27+Велино!N29+Ветрище!N29+Вехтово!N29+Градище!N29+Дибич!N29+Дивдядово!N29+Друмево!N29+Ивански!N29+'Илия Блъсково'!N29+Кладенец!N29+Коньовец!N29+'Костена река'!N29+Лозево!N29+Мадара!N29+Мараш!N29+'Мътница '!N29+Макак!N29+Новосел!N29+Овчарово!N29+'Панайот Волов'!N29+'Радко Димитриево'!N29+Салманово!N29+Средня!N29+Струйно!N29+'Царев Брод'!N29+Черенча!N29</f>
        <v>0</v>
      </c>
      <c r="O29" s="30">
        <f>Белокопитово!O26+Благово!O27+'Васил Друмев'!O27+Велино!O29+Ветрище!O29+Вехтово!O29+Градище!O29+Дибич!O29+Дивдядово!O29+Друмево!O29+Ивански!O29+'Илия Блъсково'!O29+Кладенец!O29+Коньовец!O29+'Костена река'!O29+Лозево!O29+Мадара!O29+Мараш!O29+'Мътница '!O29+Макак!O29+Новосел!O29+Овчарово!O29+'Панайот Волов'!O29+'Радко Димитриево'!O29+Салманово!O29+Средня!O29+Струйно!O29+'Царев Брод'!O29+Черенча!O29</f>
        <v>0</v>
      </c>
      <c r="P29" s="85">
        <f>Белокопитово!P26+Благово!P27+'Васил Друмев'!P27+Велино!P29+Ветрище!P29+Вехтово!P29+Градище!P29+Дибич!P29+Дивдядово!P29+Друмево!P29+Ивански!P29+'Илия Блъсково'!P29+Кладенец!P29+Коньовец!P29+'Костена река'!P29+Лозево!P29+Мадара!P29+Мараш!P29+'Мътница '!P29+Макак!P29+Новосел!P29+Овчарово!P29+'Панайот Волов'!P29+'Радко Димитриево'!P29+Салманово!P29+Средня!P29+Струйно!P29+'Царев Брод'!P29+Черенча!P29</f>
        <v>0</v>
      </c>
      <c r="R29" s="123"/>
    </row>
    <row r="30" spans="1:18" s="2" customFormat="1" ht="30">
      <c r="A30" s="29" t="s">
        <v>35</v>
      </c>
      <c r="B30" s="26" t="s">
        <v>34</v>
      </c>
      <c r="C30" s="33">
        <f>Белокопитово!C27+Благово!C28+'Васил Друмев'!C28+Велино!C30+Ветрище!C30+Вехтово!C30+Градище!C30+Дибич!C30+Дивдядово!C30+Друмево!C30+Ивански!C30+'Илия Блъсково'!C30+Кладенец!C30+Коньовец!C30+'Костена река'!C30+Лозево!C30+Мадара!C30+Мараш!C30+'Мътница '!C30+Макак!C30+Новосел!C30+Овчарово!C30+'Панайот Волов'!C30+'Радко Димитриево'!C30+Салманово!C30+Средня!C30+Струйно!C30+'Царев Брод'!C30+Черенча!C30</f>
        <v>0</v>
      </c>
      <c r="D30" s="77">
        <f>Белокопитово!D27+Благово!D28+'Васил Друмев'!D28+Велино!D30+Ветрище!D30+Вехтово!D30+Градище!D30+Дибич!D30+Дивдядово!D30+Друмево!D30+Ивански!D30+'Илия Блъсково'!D30+Кладенец!D30+Коньовец!D30+'Костена река'!D30+Лозево!D30+Мадара!D30+Мараш!D30+'Мътница '!D30+Макак!D30+Новосел!D30+Овчарово!D30+'Панайот Волов'!D30+'Радко Димитриево'!D30+Салманово!D30+Средня!D30+Струйно!D30+'Царев Брод'!D30+Черенча!D30</f>
        <v>0</v>
      </c>
      <c r="E30" s="33">
        <f>Белокопитово!D27+Благово!E28+'Васил Друмев'!E28+Велино!E30+Ветрище!E30+Вехтово!E30+Градище!E30+Дибич!E30+Дивдядово!E30+Друмево!E30+Ивански!E30+'Илия Блъсково'!E30+Кладенец!E30+Коньовец!E30+'Костена река'!E30+Лозево!E30+Мадара!E30+Мараш!E30+'Мътница '!E30+Макак!E30+Новосел!E30+Овчарово!E30+'Панайот Волов'!E30+'Радко Димитриево'!E30+Салманово!E30+Средня!E30+Струйно!E30+'Царев Брод'!E30+Черенча!E30</f>
        <v>0</v>
      </c>
      <c r="F30" s="77">
        <f>Белокопитово!F27+Благово!F28+'Васил Друмев'!F28+Велино!F30+Ветрище!F30+Вехтово!F30+Градище!F30+Дибич!F30+Дивдядово!F30+Друмево!F30+Ивански!F30+'Илия Блъсково'!F30+Кладенец!F30+Коньовец!F30+'Костена река'!F30+Лозево!F30+Мадара!F30+Мараш!F30+'Мътница '!F30+Макак!F30+Новосел!F30+Овчарово!F30+'Панайот Волов'!F30+'Радко Димитриево'!F30+Салманово!F30+Средня!F30+Струйно!F30+'Царев Брод'!F30+Черенча!F30</f>
        <v>0</v>
      </c>
      <c r="G30" s="77">
        <f>Белокопитово!G27+Благово!G28+'Васил Друмев'!G28+Велино!G30+Ветрище!G30+Вехтово!G30+Градище!G30+Дибич!G30+Дивдядово!G30+Друмево!G30+Ивански!G30+'Илия Блъсково'!G30+Кладенец!G30+Коньовец!G30+'Костена река'!G30+Лозево!G30+Мадара!G30+Мараш!G30+'Мътница '!G30+Макак!G30+Новосел!G30+Овчарово!G30+'Панайот Волов'!G30+'Радко Димитриево'!G30+Салманово!G30+Средня!G30+Струйно!G30+'Царев Брод'!G30+Черенча!G30</f>
        <v>0</v>
      </c>
      <c r="H30" s="77">
        <f>Белокопитово!H27+Благово!H28+'Васил Друмев'!H28+Велино!H30+Ветрище!H30+Вехтово!H30+Градище!H30+Дибич!H30+Дивдядово!H30+Друмево!H30+Ивански!H30+'Илия Блъсково'!H30+Кладенец!H30+Коньовец!H30+'Костена река'!H30+Лозево!H30+Мадара!H30+Мараш!H30+'Мътница '!H30+Макак!H30+Новосел!H30+Овчарово!H30+'Панайот Волов'!H30+'Радко Димитриево'!H30+Салманово!H30+Средня!H30+Струйно!H30+'Царев Брод'!H30+Черенча!H30</f>
        <v>0</v>
      </c>
      <c r="I30" s="77"/>
      <c r="J30" s="77"/>
      <c r="K30" s="33">
        <f>Белокопитово!K27+Благово!K28+'Васил Друмев'!K28+Велино!K30+Ветрище!K30+Вехтово!K30+Градище!K30+Дибич!K30+Дивдядово!K30+Друмево!K30+Ивански!K30+'Илия Блъсково'!K30+Кладенец!K30+Коньовец!K30+'Костена река'!K30+Лозево!K30+Мадара!K30+Мараш!K30+'Мътница '!K30+Макак!K30+Новосел!K30+Овчарово!K30+'Панайот Волов'!K30+'Радко Димитриево'!K30+Салманово!K30+Средня!K30+Струйно!K30+'Царев Брод'!K30+Черенча!K30</f>
        <v>0</v>
      </c>
      <c r="L30" s="77">
        <f>Белокопитово!L27+Благово!L28+'Васил Друмев'!L28+Велино!L30+Ветрище!L30+Вехтово!L30+Градище!L30+Дибич!L30+Дивдядово!L30+Друмево!L30+Ивански!L30+'Илия Блъсково'!L30+Кладенец!L30+Коньовец!L30+'Костена река'!L30+Лозево!L30+Мадара!L30+Мараш!L30+'Мътница '!L30+Макак!L30+Новосел!L30+Овчарово!L30+'Панайот Волов'!L30+'Радко Димитриево'!L30+Салманово!L30+Средня!L30+Струйно!L30+'Царев Брод'!L30+Черенча!L30</f>
        <v>0</v>
      </c>
      <c r="M30" s="33">
        <f>Белокопитово!K27+Благово!M28+'Васил Друмев'!M28+Велино!M30+Ветрище!M30+Вехтово!M30+Градище!M30+Дибич!M30+Дивдядово!M30+Друмево!M30+Ивански!M30+'Илия Блъсково'!M30+Кладенец!M30+Коньовец!M30+'Костена река'!M30+Лозево!M30+Мадара!M30+Мараш!M30+'Мътница '!M30+Макак!M30+Новосел!M30+Овчарово!M30+'Панайот Волов'!M30+'Радко Димитриево'!M30+Салманово!M30+Средня!M30+Струйно!M30+'Царев Брод'!M30+Черенча!M30</f>
        <v>0</v>
      </c>
      <c r="N30" s="77">
        <f>Белокопитово!N27+Благово!N28+'Васил Друмев'!N28+Велино!N30+Ветрище!N30+Вехтово!N30+Градище!N30+Дибич!N30+Дивдядово!N30+Друмево!N30+Ивански!N30+'Илия Блъсково'!N30+Кладенец!N30+Коньовец!N30+'Костена река'!N30+Лозево!N30+Мадара!N30+Мараш!N30+'Мътница '!N30+Макак!N30+Новосел!N30+Овчарово!N30+'Панайот Волов'!N30+'Радко Димитриево'!N30+Салманово!N30+Средня!N30+Струйно!N30+'Царев Брод'!N30+Черенча!N30</f>
        <v>0</v>
      </c>
      <c r="O30" s="30">
        <f>Белокопитово!O27+Благово!O28+'Васил Друмев'!O28+Велино!O30+Ветрище!O30+Вехтово!O30+Градище!O30+Дибич!O30+Дивдядово!O30+Друмево!O30+Ивански!O30+'Илия Блъсково'!O30+Кладенец!O30+Коньовец!O30+'Костена река'!O30+Лозево!O30+Мадара!O30+Мараш!O30+'Мътница '!O30+Макак!O30+Новосел!O30+Овчарово!O30+'Панайот Волов'!O30+'Радко Димитриево'!O30+Салманово!O30+Средня!O30+Струйно!O30+'Царев Брод'!O30+Черенча!O30</f>
        <v>0</v>
      </c>
      <c r="P30" s="85">
        <f>Белокопитово!P27+Благово!P28+'Васил Друмев'!P28+Велино!P30+Ветрище!P30+Вехтово!P30+Градище!P30+Дибич!P30+Дивдядово!P30+Друмево!P30+Ивански!P30+'Илия Блъсково'!P30+Кладенец!P30+Коньовец!P30+'Костена река'!P30+Лозево!P30+Мадара!P30+Мараш!P30+'Мътница '!P30+Макак!P30+Новосел!P30+Овчарово!P30+'Панайот Волов'!P30+'Радко Димитриево'!P30+Салманово!P30+Средня!P30+Струйно!P30+'Царев Брод'!P30+Черенча!P30</f>
        <v>0</v>
      </c>
      <c r="R30" s="123"/>
    </row>
    <row r="31" spans="1:18" s="2" customFormat="1" ht="30">
      <c r="A31" s="29" t="s">
        <v>18</v>
      </c>
      <c r="B31" s="26" t="s">
        <v>4</v>
      </c>
      <c r="C31" s="33">
        <f>Белокопитово!C28+Благово!C29+'Васил Друмев'!C29+Велино!C31+Ветрище!C31+Вехтово!C31+Градище!C31+Дибич!C31+Дивдядово!C31+Друмево!C31+Ивански!C31+'Илия Блъсково'!C31+Кладенец!C31+Коньовец!C31+'Костена река'!C31+Лозево!C31+Мадара!C31+Мараш!C31+'Мътница '!C31+Макак!C31+Новосел!C31+Овчарово!C31+'Панайот Волов'!C31+'Радко Димитриево'!C31+Салманово!C31+Средня!C31+Струйно!C31+'Царев Брод'!C31+Черенча!C31</f>
        <v>74217.8378</v>
      </c>
      <c r="D31" s="77">
        <f>Белокопитово!D28+Благово!D29+'Васил Друмев'!D29+Велино!D31+Ветрище!D31+Вехтово!D31+Градище!D31+Дибич!D31+Дивдядово!D31+Друмево!D31+Ивански!D31+'Илия Блъсково'!D31+Кладенец!D31+Коньовец!D31+'Костена река'!D31+Лозево!D31+Мадара!D31+Мараш!D31+'Мътница '!D31+Макак!D31+Новосел!D31+Овчарово!D31+'Панайот Волов'!D31+'Радко Димитриево'!D31+Салманово!D31+Средня!D31+Струйно!D31+'Царев Брод'!D31+Черенча!D31</f>
        <v>81015.388654</v>
      </c>
      <c r="E31" s="33">
        <f>Белокопитово!D28+Благово!E29+'Васил Друмев'!E29+Велино!E31+Ветрище!E31+Вехтово!E31+Градище!E31+Дибич!E31+Дивдядово!E31+Друмево!E31+Ивански!E31+'Илия Блъсково'!E31+Кладенец!E31+Коньовец!E31+'Костена река'!E31+Лозево!E31+Мадара!E31+Мараш!E31+'Мътница '!E31+Макак!E31+Новосел!E31+Овчарово!E31+'Панайот Волов'!E31+'Радко Димитриево'!E31+Салманово!E31+Средня!E31+Струйно!E31+'Царев Брод'!E31+Черенча!E31</f>
        <v>2537.4186339999997</v>
      </c>
      <c r="F31" s="77">
        <f>Белокопитово!F28+Благово!F29+'Васил Друмев'!F29+Велино!F31+Ветрище!F31+Вехтово!F31+Градище!F31+Дибич!F31+Дивдядово!F31+Друмево!F31+Ивански!F31+'Илия Блъсково'!F31+Кладенец!F31+Коньовец!F31+'Костена река'!F31+Лозево!F31+Мадара!F31+Мараш!F31+'Мътница '!F31+Макак!F31+Новосел!F31+Овчарово!F31+'Панайот Волов'!F31+'Радко Димитриево'!F31+Салманово!F31+Средня!F31+Струйно!F31+'Царев Брод'!F31+Черенча!F31</f>
        <v>0</v>
      </c>
      <c r="G31" s="77">
        <f>Белокопитово!G28+Благово!G29+'Васил Друмев'!G29+Велино!G31+Ветрище!G31+Вехтово!G31+Градище!G31+Дибич!G31+Дивдядово!G31+Друмево!G31+Ивански!G31+'Илия Блъсково'!G31+Кладенец!G31+Коньовец!G31+'Костена река'!G31+Лозево!G31+Мадара!G31+Мараш!G31+'Мътница '!G31+Макак!G31+Новосел!G31+Овчарово!G31+'Панайот Волов'!G31+'Радко Димитриево'!G31+Салманово!G31+Средня!G31+Струйно!G31+'Царев Брод'!G31+Черенча!G31</f>
        <v>0</v>
      </c>
      <c r="H31" s="77">
        <f>Белокопитово!H28+Благово!H29+'Васил Друмев'!H29+Велино!H31+Ветрище!H31+Вехтово!H31+Градище!H31+Дибич!H31+Дивдядово!H31+Друмево!H31+Ивански!H31+'Илия Блъсково'!H31+Кладенец!H31+Коньовец!H31+'Костена река'!H31+Лозево!H31+Мадара!H31+Мараш!H31+'Мътница '!H31+Макак!H31+Новосел!H31+Овчарово!H31+'Панайот Волов'!H31+'Радко Димитриево'!H31+Салманово!H31+Средня!H31+Струйно!H31+'Царев Брод'!H31+Черенча!H31</f>
        <v>0</v>
      </c>
      <c r="I31" s="77"/>
      <c r="J31" s="77"/>
      <c r="K31" s="33">
        <f>Белокопитово!K28+Благово!K29+'Васил Друмев'!K29+Велино!K31+Ветрище!K31+Вехтово!K31+Градище!K31+Дибич!K31+Дивдядово!K31+Друмево!K31+Ивански!K31+'Илия Блъсково'!K31+Кладенец!K31+Коньовец!K31+'Костена река'!K31+Лозево!K31+Мадара!K31+Мараш!K31+'Мътница '!K31+Макак!K31+Новосел!K31+Овчарово!K31+'Панайот Волов'!K31+'Радко Димитриево'!K31+Салманово!K31+Средня!K31+Струйно!K31+'Царев Брод'!K31+Черенча!K31</f>
        <v>0</v>
      </c>
      <c r="L31" s="77">
        <f>Белокопитово!L28+Благово!L29+'Васил Друмев'!L29+Велино!L31+Ветрище!L31+Вехтово!L31+Градище!L31+Дибич!L31+Дивдядово!L31+Друмево!L31+Ивански!L31+'Илия Блъсково'!L31+Кладенец!L31+Коньовец!L31+'Костена река'!L31+Лозево!L31+Мадара!L31+Мараш!L31+'Мътница '!L31+Макак!L31+Новосел!L31+Овчарово!L31+'Панайот Волов'!L31+'Радко Димитриево'!L31+Салманово!L31+Средня!L31+Струйно!L31+'Царев Брод'!L31+Черенча!L31</f>
        <v>9.49</v>
      </c>
      <c r="M31" s="33">
        <f>Белокопитово!K28+Благово!M29+'Васил Друмев'!M29+Велино!M31+Ветрище!M31+Вехтово!M31+Градище!M31+Дибич!M31+Дивдядово!M31+Друмево!M31+Ивански!M31+'Илия Блъсково'!M31+Кладенец!M31+Коньовец!M31+'Костена река'!M31+Лозево!M31+Мадара!M31+Мараш!M31+'Мътница '!M31+Макак!M31+Новосел!M31+Овчарово!M31+'Панайот Волов'!M31+'Радко Димитриево'!M31+Салманово!M31+Средня!M31+Струйно!M31+'Царев Брод'!M31+Черенча!M31</f>
        <v>0</v>
      </c>
      <c r="N31" s="77">
        <f>Белокопитово!N28+Благово!N29+'Васил Друмев'!N29+Велино!N31+Ветрище!N31+Вехтово!N31+Градище!N31+Дибич!N31+Дивдядово!N31+Друмево!N31+Ивански!N31+'Илия Блъсково'!N31+Кладенец!N31+Коньовец!N31+'Костена река'!N31+Лозево!N31+Мадара!N31+Мараш!N31+'Мътница '!N31+Макак!N31+Новосел!N31+Овчарово!N31+'Панайот Волов'!N31+'Радко Димитриево'!N31+Салманово!N31+Средня!N31+Струйно!N31+'Царев Брод'!N31+Черенча!N31</f>
        <v>0</v>
      </c>
      <c r="O31" s="30">
        <f>Белокопитово!O28+Благово!O29+'Васил Друмев'!O29+Велино!O31+Ветрище!O31+Вехтово!O31+Градище!O31+Дибич!O31+Дивдядово!O31+Друмево!O31+Ивански!O31+'Илия Блъсково'!O31+Кладенец!O31+Коньовец!O31+'Костена река'!O31+Лозево!O31+Мадара!O31+Мараш!O31+'Мътница '!O31+Макак!O31+Новосел!O31+Овчарово!O31+'Панайот Волов'!O31+'Радко Димитриево'!O31+Салманово!O31+Средня!O31+Струйно!O31+'Царев Брод'!O31+Черенча!O31</f>
        <v>74217.8378</v>
      </c>
      <c r="P31" s="85">
        <f>Белокопитово!P28+Благово!P29+'Васил Друмев'!P29+Велино!P31+Ветрище!P31+Вехтово!P31+Градище!P31+Дибич!P31+Дивдядово!P31+Друмево!P31+Ивански!P31+'Илия Блъсково'!P31+Кладенец!P31+Коньовец!P31+'Костена река'!P31+Лозево!P31+Мадара!P31+Мараш!P31+'Мътница '!P31+Макак!P31+Новосел!P31+Овчарово!P31+'Панайот Волов'!P31+'Радко Димитриево'!P31+Салманово!P31+Средня!P31+Струйно!P31+'Царев Брод'!P31+Черенча!P31</f>
        <v>81024.878654</v>
      </c>
      <c r="R31" s="123">
        <f>'РАЗХОДИ ПО КМЕТСТВА'!AE35+'РАЗХОДИ ПО КМЕТСТВА'!T35-'ОБЩО КМЕТСТВА'!P31</f>
        <v>0</v>
      </c>
    </row>
    <row r="32" spans="1:18" s="2" customFormat="1" ht="15">
      <c r="A32" s="29" t="s">
        <v>19</v>
      </c>
      <c r="B32" s="26" t="s">
        <v>5</v>
      </c>
      <c r="C32" s="33">
        <f>Белокопитово!C29+Благово!C30+'Васил Друмев'!C30+Велино!C32+Ветрище!C32+Вехтово!C32+Градище!C32+Дибич!C32+Дивдядово!C32+Друмево!C32+Ивански!C32+'Илия Блъсково'!C32+Кладенец!C32+Коньовец!C32+'Костена река'!C32+Лозево!C32+Мадара!C32+Мараш!C32+'Мътница '!C32+Макак!C32+Новосел!C32+Овчарово!C32+'Панайот Волов'!C32+'Радко Димитриево'!C32+Салманово!C32+Средня!C32+Струйно!C32+'Царев Брод'!C32+Черенча!C32</f>
        <v>0</v>
      </c>
      <c r="D32" s="77">
        <f>Белокопитово!D29+Благово!D30+'Васил Друмев'!D30+Велино!D32+Ветрище!D32+Вехтово!D32+Градище!D32+Дибич!D32+Дивдядово!D32+Друмево!D32+Ивански!D32+'Илия Блъсково'!D32+Кладенец!D32+Коньовец!D32+'Костена река'!D32+Лозево!D32+Мадара!D32+Мараш!D32+'Мътница '!D32+Макак!D32+Новосел!D32+Овчарово!D32+'Панайот Волов'!D32+'Радко Димитриево'!D32+Салманово!D32+Средня!D32+Струйно!D32+'Царев Брод'!D32+Черенча!D32</f>
        <v>0</v>
      </c>
      <c r="E32" s="33">
        <f>Белокопитово!D29+Благово!E30+'Васил Друмев'!E30+Велино!E32+Ветрище!E32+Вехтово!E32+Градище!E32+Дибич!E32+Дивдядово!E32+Друмево!E32+Ивански!E32+'Илия Блъсково'!E32+Кладенец!E32+Коньовец!E32+'Костена река'!E32+Лозево!E32+Мадара!E32+Мараш!E32+'Мътница '!E32+Макак!E32+Новосел!E32+Овчарово!E32+'Панайот Волов'!E32+'Радко Димитриево'!E32+Салманово!E32+Средня!E32+Струйно!E32+'Царев Брод'!E32+Черенча!E32</f>
        <v>0</v>
      </c>
      <c r="F32" s="77">
        <f>Белокопитово!F29+Благово!F30+'Васил Друмев'!F30+Велино!F32+Ветрище!F32+Вехтово!F32+Градище!F32+Дибич!F32+Дивдядово!F32+Друмево!F32+Ивански!F32+'Илия Блъсково'!F32+Кладенец!F32+Коньовец!F32+'Костена река'!F32+Лозево!F32+Мадара!F32+Мараш!F32+'Мътница '!F32+Макак!F32+Новосел!F32+Овчарово!F32+'Панайот Волов'!F32+'Радко Димитриево'!F32+Салманово!F32+Средня!F32+Струйно!F32+'Царев Брод'!F32+Черенча!F32</f>
        <v>0</v>
      </c>
      <c r="G32" s="77">
        <f>Белокопитово!G29+Благово!G30+'Васил Друмев'!G30+Велино!G32+Ветрище!G32+Вехтово!G32+Градище!G32+Дибич!G32+Дивдядово!G32+Друмево!G32+Ивански!G32+'Илия Блъсково'!G32+Кладенец!G32+Коньовец!G32+'Костена река'!G32+Лозево!G32+Мадара!G32+Мараш!G32+'Мътница '!G32+Макак!G32+Новосел!G32+Овчарово!G32+'Панайот Волов'!G32+'Радко Димитриево'!G32+Салманово!G32+Средня!G32+Струйно!G32+'Царев Брод'!G32+Черенча!G32</f>
        <v>0</v>
      </c>
      <c r="H32" s="77">
        <f>Белокопитово!H29+Благово!H30+'Васил Друмев'!H30+Велино!H32+Ветрище!H32+Вехтово!H32+Градище!H32+Дибич!H32+Дивдядово!H32+Друмево!H32+Ивански!H32+'Илия Блъсково'!H32+Кладенец!H32+Коньовец!H32+'Костена река'!H32+Лозево!H32+Мадара!H32+Мараш!H32+'Мътница '!H32+Макак!H32+Новосел!H32+Овчарово!H32+'Панайот Волов'!H32+'Радко Димитриево'!H32+Салманово!H32+Средня!H32+Струйно!H32+'Царев Брод'!H32+Черенча!H32</f>
        <v>0</v>
      </c>
      <c r="I32" s="77"/>
      <c r="J32" s="77"/>
      <c r="K32" s="33">
        <f>Белокопитово!K29+Благово!K30+'Васил Друмев'!K30+Велино!K32+Ветрище!K32+Вехтово!K32+Градище!K32+Дибич!K32+Дивдядово!K32+Друмево!K32+Ивански!K32+'Илия Блъсково'!K32+Кладенец!K32+Коньовец!K32+'Костена река'!K32+Лозево!K32+Мадара!K32+Мараш!K32+'Мътница '!K32+Макак!K32+Новосел!K32+Овчарово!K32+'Панайот Волов'!K32+'Радко Димитриево'!K32+Салманово!K32+Средня!K32+Струйно!K32+'Царев Брод'!K32+Черенча!K32</f>
        <v>0</v>
      </c>
      <c r="L32" s="77">
        <f>Белокопитово!L29+Благово!L30+'Васил Друмев'!L30+Велино!L32+Ветрище!L32+Вехтово!L32+Градище!L32+Дибич!L32+Дивдядово!L32+Друмево!L32+Ивански!L32+'Илия Блъсково'!L32+Кладенец!L32+Коньовец!L32+'Костена река'!L32+Лозево!L32+Мадара!L32+Мараш!L32+'Мътница '!L32+Макак!L32+Новосел!L32+Овчарово!L32+'Панайот Волов'!L32+'Радко Димитриево'!L32+Салманово!L32+Средня!L32+Струйно!L32+'Царев Брод'!L32+Черенча!L32</f>
        <v>0</v>
      </c>
      <c r="M32" s="33">
        <f>Белокопитово!K29+Благово!M30+'Васил Друмев'!M30+Велино!M32+Ветрище!M32+Вехтово!M32+Градище!M32+Дибич!M32+Дивдядово!M32+Друмево!M32+Ивански!M32+'Илия Блъсково'!M32+Кладенец!M32+Коньовец!M32+'Костена река'!M32+Лозево!M32+Мадара!M32+Мараш!M32+'Мътница '!M32+Макак!M32+Новосел!M32+Овчарово!M32+'Панайот Волов'!M32+'Радко Димитриево'!M32+Салманово!M32+Средня!M32+Струйно!M32+'Царев Брод'!M32+Черенча!M32</f>
        <v>0</v>
      </c>
      <c r="N32" s="77">
        <f>Белокопитово!N29+Благово!N30+'Васил Друмев'!N30+Велино!N32+Ветрище!N32+Вехтово!N32+Градище!N32+Дибич!N32+Дивдядово!N32+Друмево!N32+Ивански!N32+'Илия Блъсково'!N32+Кладенец!N32+Коньовец!N32+'Костена река'!N32+Лозево!N32+Мадара!N32+Мараш!N32+'Мътница '!N32+Макак!N32+Новосел!N32+Овчарово!N32+'Панайот Волов'!N32+'Радко Димитриево'!N32+Салманово!N32+Средня!N32+Струйно!N32+'Царев Брод'!N32+Черенча!N32</f>
        <v>0</v>
      </c>
      <c r="O32" s="30">
        <f>Белокопитово!O29+Благово!O30+'Васил Друмев'!O30+Велино!O32+Ветрище!O32+Вехтово!O32+Градище!O32+Дибич!O32+Дивдядово!O32+Друмево!O32+Ивански!O32+'Илия Блъсково'!O32+Кладенец!O32+Коньовец!O32+'Костена река'!O32+Лозево!O32+Мадара!O32+Мараш!O32+'Мътница '!O32+Макак!O32+Новосел!O32+Овчарово!O32+'Панайот Волов'!O32+'Радко Димитриево'!O32+Салманово!O32+Средня!O32+Струйно!O32+'Царев Брод'!O32+Черенча!O32</f>
        <v>0</v>
      </c>
      <c r="P32" s="85">
        <f>Белокопитово!P29+Благово!P30+'Васил Друмев'!P30+Велино!P32+Ветрище!P32+Вехтово!P32+Градище!P32+Дибич!P32+Дивдядово!P32+Друмево!P32+Ивански!P32+'Илия Блъсково'!P32+Кладенец!P32+Коньовец!P32+'Костена река'!P32+Лозево!P32+Мадара!P32+Мараш!P32+'Мътница '!P32+Макак!P32+Новосел!P32+Овчарово!P32+'Панайот Волов'!P32+'Радко Димитриево'!P32+Салманово!P32+Средня!P32+Струйно!P32+'Царев Брод'!P32+Черенча!P32</f>
        <v>0</v>
      </c>
      <c r="R32" s="123"/>
    </row>
    <row r="33" spans="1:18" s="2" customFormat="1" ht="15">
      <c r="A33" s="29" t="s">
        <v>20</v>
      </c>
      <c r="B33" s="26" t="s">
        <v>6</v>
      </c>
      <c r="C33" s="33">
        <f>Белокопитово!C30+Благово!C31+'Васил Друмев'!C31+Велино!C33+Ветрище!C33+Вехтово!C33+Градище!C33+Дибич!C33+Дивдядово!C33+Друмево!C33+Ивански!C33+'Илия Блъсково'!C33+Кладенец!C33+Коньовец!C33+'Костена река'!C33+Лозево!C33+Мадара!C33+Мараш!C33+'Мътница '!C33+Макак!C33+Новосел!C33+Овчарово!C33+'Панайот Волов'!C33+'Радко Димитриево'!C33+Салманово!C33+Средня!C33+Струйно!C33+'Царев Брод'!C33+Черенча!C33</f>
        <v>0</v>
      </c>
      <c r="D33" s="33">
        <f>Белокопитово!D30+Благово!D31+'Васил Друмев'!D31+Велино!D33+Ветрище!D33+Вехтово!D33+Градище!D33+Дибич!D33+Дивдядово!D33+Друмево!D33+Ивански!D33+'Илия Блъсково'!D33+Кладенец!D33+Коньовец!D33+'Костена река'!D33+Лозево!D33+Мадара!D33+Мараш!D33+'Мътница '!D33+Макак!D33+Новосел!D33+Овчарово!D33+'Панайот Волов'!D33+'Радко Димитриево'!D33+Салманово!D33+Средня!D33+Струйно!D33+'Царев Брод'!D33+Черенча!D33</f>
        <v>0</v>
      </c>
      <c r="E33" s="33">
        <f>Белокопитово!D30+Благово!E31+'Васил Друмев'!E31+Велино!E33+Ветрище!E33+Вехтово!E33+Градище!E33+Дибич!E33+Дивдядово!E33+Друмево!E33+Ивански!E33+'Илия Блъсково'!E33+Кладенец!E33+Коньовец!E33+'Костена река'!E33+Лозево!E33+Мадара!E33+Мараш!E33+'Мътница '!E33+Макак!E33+Новосел!E33+Овчарово!E33+'Панайот Волов'!E33+'Радко Димитриево'!E33+Салманово!E33+Средня!E33+Струйно!E33+'Царев Брод'!E33+Черенча!E33</f>
        <v>0</v>
      </c>
      <c r="F33" s="77">
        <f>Белокопитово!F30+Благово!F31+'Васил Друмев'!F31+Велино!F33+Ветрище!F33+Вехтово!F33+Градище!F33+Дибич!F33+Дивдядово!F33+Друмево!F33+Ивански!F33+'Илия Блъсково'!F33+Кладенец!F33+Коньовец!F33+'Костена река'!F33+Лозево!F33+Мадара!F33+Мараш!F33+'Мътница '!F33+Макак!F33+Новосел!F33+Овчарово!F33+'Панайот Волов'!F33+'Радко Димитриево'!F33+Салманово!F33+Средня!F33+Струйно!F33+'Царев Брод'!F33+Черенча!F33</f>
        <v>0</v>
      </c>
      <c r="G33" s="77">
        <f>Белокопитово!G30+Благово!G31+'Васил Друмев'!G31+Велино!G33+Ветрище!G33+Вехтово!G33+Градище!G33+Дибич!G33+Дивдядово!G33+Друмево!G33+Ивански!G33+'Илия Блъсково'!G33+Кладенец!G33+Коньовец!G33+'Костена река'!G33+Лозево!G33+Мадара!G33+Мараш!G33+'Мътница '!G33+Макак!G33+Новосел!G33+Овчарово!G33+'Панайот Волов'!G33+'Радко Димитриево'!G33+Салманово!G33+Средня!G33+Струйно!G33+'Царев Брод'!G33+Черенча!G33</f>
        <v>0</v>
      </c>
      <c r="H33" s="77">
        <f>Белокопитово!H30+Благово!H31+'Васил Друмев'!H31+Велино!H33+Ветрище!H33+Вехтово!H33+Градище!H33+Дибич!H33+Дивдядово!H33+Друмево!H33+Ивански!H33+'Илия Блъсково'!H33+Кладенец!H33+Коньовец!H33+'Костена река'!H33+Лозево!H33+Мадара!H33+Мараш!H33+'Мътница '!H33+Макак!H33+Новосел!H33+Овчарово!H33+'Панайот Волов'!H33+'Радко Димитриево'!H33+Салманово!H33+Средня!H33+Струйно!H33+'Царев Брод'!H33+Черенча!H33</f>
        <v>0</v>
      </c>
      <c r="I33" s="77"/>
      <c r="J33" s="77"/>
      <c r="K33" s="33">
        <f>Белокопитово!K30+Благово!K31+'Васил Друмев'!K31+Велино!K33+Ветрище!K33+Вехтово!K33+Градище!K33+Дибич!K33+Дивдядово!K33+Друмево!K33+Ивански!K33+'Илия Блъсково'!K33+Кладенец!K33+Коньовец!K33+'Костена река'!K33+Лозево!K33+Мадара!K33+Мараш!K33+'Мътница '!K33+Макак!K33+Новосел!K33+Овчарово!K33+'Панайот Волов'!K33+'Радко Димитриево'!K33+Салманово!K33+Средня!K33+Струйно!K33+'Царев Брод'!K33+Черенча!K33</f>
        <v>0</v>
      </c>
      <c r="L33" s="77">
        <f>Белокопитово!L30+Благово!L31+'Васил Друмев'!L31+Велино!L33+Ветрище!L33+Вехтово!L33+Градище!L33+Дибич!L33+Дивдядово!L33+Друмево!L33+Ивански!L33+'Илия Блъсково'!L33+Кладенец!L33+Коньовец!L33+'Костена река'!L33+Лозево!L33+Мадара!L33+Мараш!L33+'Мътница '!L33+Макак!L33+Новосел!L33+Овчарово!L33+'Панайот Волов'!L33+'Радко Димитриево'!L33+Салманово!L33+Средня!L33+Струйно!L33+'Царев Брод'!L33+Черенча!L33</f>
        <v>0</v>
      </c>
      <c r="M33" s="33">
        <f>Белокопитово!K30+Благово!M31+'Васил Друмев'!M31+Велино!M33+Ветрище!M33+Вехтово!M33+Градище!M33+Дибич!M33+Дивдядово!M33+Друмево!M33+Ивански!M33+'Илия Блъсково'!M33+Кладенец!M33+Коньовец!M33+'Костена река'!M33+Лозево!M33+Мадара!M33+Мараш!M33+'Мътница '!M33+Макак!M33+Новосел!M33+Овчарово!M33+'Панайот Волов'!M33+'Радко Димитриево'!M33+Салманово!M33+Средня!M33+Струйно!M33+'Царев Брод'!M33+Черенча!M33</f>
        <v>0</v>
      </c>
      <c r="N33" s="77">
        <f>Белокопитово!N30+Благово!N31+'Васил Друмев'!N31+Велино!N33+Ветрище!N33+Вехтово!N33+Градище!N33+Дибич!N33+Дивдядово!N33+Друмево!N33+Ивански!N33+'Илия Блъсково'!N33+Кладенец!N33+Коньовец!N33+'Костена река'!N33+Лозево!N33+Мадара!N33+Мараш!N33+'Мътница '!N33+Макак!N33+Новосел!N33+Овчарово!N33+'Панайот Волов'!N33+'Радко Димитриево'!N33+Салманово!N33+Средня!N33+Струйно!N33+'Царев Брод'!N33+Черенча!N33</f>
        <v>0</v>
      </c>
      <c r="O33" s="30">
        <f>Белокопитово!O30+Благово!O31+'Васил Друмев'!O31+Велино!O33+Ветрище!O33+Вехтово!O33+Градище!O33+Дибич!O33+Дивдядово!O33+Друмево!O33+Ивански!O33+'Илия Блъсково'!O33+Кладенец!O33+Коньовец!O33+'Костена река'!O33+Лозево!O33+Мадара!O33+Мараш!O33+'Мътница '!O33+Макак!O33+Новосел!O33+Овчарово!O33+'Панайот Волов'!O33+'Радко Димитриево'!O33+Салманово!O33+Средня!O33+Струйно!O33+'Царев Брод'!O33+Черенча!O33</f>
        <v>0</v>
      </c>
      <c r="P33" s="85">
        <f>Белокопитово!P30+Благово!P31+'Васил Друмев'!P31+Велино!P33+Ветрище!P33+Вехтово!P33+Градище!P33+Дибич!P33+Дивдядово!P33+Друмево!P33+Ивански!P33+'Илия Блъсково'!P33+Кладенец!P33+Коньовец!P33+'Костена река'!P33+Лозево!P33+Мадара!P33+Мараш!P33+'Мътница '!P33+Макак!P33+Новосел!P33+Овчарово!P33+'Панайот Волов'!P33+'Радко Димитриево'!P33+Салманово!P33+Средня!P33+Струйно!P33+'Царев Брод'!P33+Черенча!P33</f>
        <v>0</v>
      </c>
      <c r="R33" s="123"/>
    </row>
    <row r="34" spans="1:18" s="2" customFormat="1" ht="30">
      <c r="A34" s="29" t="s">
        <v>21</v>
      </c>
      <c r="B34" s="26" t="s">
        <v>7</v>
      </c>
      <c r="C34" s="33">
        <f>Белокопитово!C31+Благово!C32+'Васил Друмев'!C32+Велино!C34+Ветрище!C34+Вехтово!C34+Градище!C34+Дибич!C34+Дивдядово!C34+Друмево!C34+Ивански!C34+'Илия Блъсково'!C34+Кладенец!C34+Коньовец!C34+'Костена река'!C34+Лозево!C34+Мадара!C34+Мараш!C34+'Мътница '!C34+Макак!C34+Новосел!C34+Овчарово!C34+'Панайот Волов'!C34+'Радко Димитриево'!C34+Салманово!C34+Средня!C34+Струйно!C34+'Царев Брод'!C34+Черенча!C34</f>
        <v>0</v>
      </c>
      <c r="D34" s="33">
        <f>Белокопитово!D31+Благово!D32+'Васил Друмев'!D32+Велино!D34+Ветрище!D34+Вехтово!D34+Градище!D34+Дибич!D34+Дивдядово!D34+Друмево!D34+Ивански!D34+'Илия Блъсково'!D34+Кладенец!D34+Коньовец!D34+'Костена река'!D34+Лозево!D34+Мадара!D34+Мараш!D34+'Мътница '!D34+Макак!D34+Новосел!D34+Овчарово!D34+'Панайот Волов'!D34+'Радко Димитриево'!D34+Салманово!D34+Средня!D34+Струйно!D34+'Царев Брод'!D34+Черенча!D34</f>
        <v>0</v>
      </c>
      <c r="E34" s="33">
        <f>Белокопитово!D31+Благово!E32+'Васил Друмев'!E32+Велино!E34+Ветрище!E34+Вехтово!E34+Градище!E34+Дибич!E34+Дивдядово!E34+Друмево!E34+Ивански!E34+'Илия Блъсково'!E34+Кладенец!E34+Коньовец!E34+'Костена река'!E34+Лозево!E34+Мадара!E34+Мараш!E34+'Мътница '!E34+Макак!E34+Новосел!E34+Овчарово!E34+'Панайот Волов'!E34+'Радко Димитриево'!E34+Салманово!E34+Средня!E34+Струйно!E34+'Царев Брод'!E34+Черенча!E34</f>
        <v>0</v>
      </c>
      <c r="F34" s="77">
        <f>Белокопитово!F31+Благово!F32+'Васил Друмев'!F32+Велино!F34+Ветрище!F34+Вехтово!F34+Градище!F34+Дибич!F34+Дивдядово!F34+Друмево!F34+Ивански!F34+'Илия Блъсково'!F34+Кладенец!F34+Коньовец!F34+'Костена река'!F34+Лозево!F34+Мадара!F34+Мараш!F34+'Мътница '!F34+Макак!F34+Новосел!F34+Овчарово!F34+'Панайот Волов'!F34+'Радко Димитриево'!F34+Салманово!F34+Средня!F34+Струйно!F34+'Царев Брод'!F34+Черенча!F34</f>
        <v>0</v>
      </c>
      <c r="G34" s="77">
        <f>Белокопитово!G31+Благово!G32+'Васил Друмев'!G32+Велино!G34+Ветрище!G34+Вехтово!G34+Градище!G34+Дибич!G34+Дивдядово!G34+Друмево!G34+Ивански!G34+'Илия Блъсково'!G34+Кладенец!G34+Коньовец!G34+'Костена река'!G34+Лозево!G34+Мадара!G34+Мараш!G34+'Мътница '!G34+Макак!G34+Новосел!G34+Овчарово!G34+'Панайот Волов'!G34+'Радко Димитриево'!G34+Салманово!G34+Средня!G34+Струйно!G34+'Царев Брод'!G34+Черенча!G34</f>
        <v>0</v>
      </c>
      <c r="H34" s="77">
        <f>Белокопитово!H31+Благово!H32+'Васил Друмев'!H32+Велино!H34+Ветрище!H34+Вехтово!H34+Градище!H34+Дибич!H34+Дивдядово!H34+Друмево!H34+Ивански!H34+'Илия Блъсково'!H34+Кладенец!H34+Коньовец!H34+'Костена река'!H34+Лозево!H34+Мадара!H34+Мараш!H34+'Мътница '!H34+Макак!H34+Новосел!H34+Овчарово!H34+'Панайот Волов'!H34+'Радко Димитриево'!H34+Салманово!H34+Средня!H34+Струйно!H34+'Царев Брод'!H34+Черенча!H34</f>
        <v>0</v>
      </c>
      <c r="I34" s="77"/>
      <c r="J34" s="77"/>
      <c r="K34" s="33">
        <f>Белокопитово!K31+Благово!K32+'Васил Друмев'!K32+Велино!K34+Ветрище!K34+Вехтово!K34+Градище!K34+Дибич!K34+Дивдядово!K34+Друмево!K34+Ивански!K34+'Илия Блъсково'!K34+Кладенец!K34+Коньовец!K34+'Костена река'!K34+Лозево!K34+Мадара!K34+Мараш!K34+'Мътница '!K34+Макак!K34+Новосел!K34+Овчарово!K34+'Панайот Волов'!K34+'Радко Димитриево'!K34+Салманово!K34+Средня!K34+Струйно!K34+'Царев Брод'!K34+Черенча!K34</f>
        <v>0</v>
      </c>
      <c r="L34" s="77">
        <f>Белокопитово!L31+Благово!L32+'Васил Друмев'!L32+Велино!L34+Ветрище!L34+Вехтово!L34+Градище!L34+Дибич!L34+Дивдядово!L34+Друмево!L34+Ивански!L34+'Илия Блъсково'!L34+Кладенец!L34+Коньовец!L34+'Костена река'!L34+Лозево!L34+Мадара!L34+Мараш!L34+'Мътница '!L34+Макак!L34+Новосел!L34+Овчарово!L34+'Панайот Волов'!L34+'Радко Димитриево'!L34+Салманово!L34+Средня!L34+Струйно!L34+'Царев Брод'!L34+Черенча!L34</f>
        <v>0</v>
      </c>
      <c r="M34" s="33">
        <f>Белокопитово!K31+Благово!M32+'Васил Друмев'!M32+Велино!M34+Ветрище!M34+Вехтово!M34+Градище!M34+Дибич!M34+Дивдядово!M34+Друмево!M34+Ивански!M34+'Илия Блъсково'!M34+Кладенец!M34+Коньовец!M34+'Костена река'!M34+Лозево!M34+Мадара!M34+Мараш!M34+'Мътница '!M34+Макак!M34+Новосел!M34+Овчарово!M34+'Панайот Волов'!M34+'Радко Димитриево'!M34+Салманово!M34+Средня!M34+Струйно!M34+'Царев Брод'!M34+Черенча!M34</f>
        <v>0</v>
      </c>
      <c r="N34" s="77">
        <f>Белокопитово!N31+Благово!N32+'Васил Друмев'!N32+Велино!N34+Ветрище!N34+Вехтово!N34+Градище!N34+Дибич!N34+Дивдядово!N34+Друмево!N34+Ивански!N34+'Илия Блъсково'!N34+Кладенец!N34+Коньовец!N34+'Костена река'!N34+Лозево!N34+Мадара!N34+Мараш!N34+'Мътница '!N34+Макак!N34+Новосел!N34+Овчарово!N34+'Панайот Волов'!N34+'Радко Димитриево'!N34+Салманово!N34+Средня!N34+Струйно!N34+'Царев Брод'!N34+Черенча!N34</f>
        <v>0</v>
      </c>
      <c r="O34" s="30">
        <f>Белокопитово!O31+Благово!O32+'Васил Друмев'!O32+Велино!O34+Ветрище!O34+Вехтово!O34+Градище!O34+Дибич!O34+Дивдядово!O34+Друмево!O34+Ивански!O34+'Илия Блъсково'!O34+Кладенец!O34+Коньовец!O34+'Костена река'!O34+Лозево!O34+Мадара!O34+Мараш!O34+'Мътница '!O34+Макак!O34+Новосел!O34+Овчарово!O34+'Панайот Волов'!O34+'Радко Димитриево'!O34+Салманово!O34+Средня!O34+Струйно!O34+'Царев Брод'!O34+Черенча!O34</f>
        <v>0</v>
      </c>
      <c r="P34" s="85">
        <f>Белокопитово!P31+Благово!P32+'Васил Друмев'!P32+Велино!P34+Ветрище!P34+Вехтово!P34+Градище!P34+Дибич!P34+Дивдядово!P34+Друмево!P34+Ивански!P34+'Илия Блъсково'!P34+Кладенец!P34+Коньовец!P34+'Костена река'!P34+Лозево!P34+Мадара!P34+Мараш!P34+'Мътница '!P34+Макак!P34+Новосел!P34+Овчарово!P34+'Панайот Волов'!P34+'Радко Димитриево'!P34+Салманово!P34+Средня!P34+Струйно!P34+'Царев Брод'!P34+Черенча!P34</f>
        <v>0</v>
      </c>
      <c r="R34" s="123"/>
    </row>
    <row r="35" spans="1:18" s="2" customFormat="1" ht="30">
      <c r="A35" s="29" t="s">
        <v>22</v>
      </c>
      <c r="B35" s="26" t="s">
        <v>8</v>
      </c>
      <c r="C35" s="33">
        <f>Белокопитово!C32+Благово!C33+'Васил Друмев'!C33+Велино!C35+Ветрище!C35+Вехтово!C35+Градище!C35+Дибич!C35+Дивдядово!C35+Друмево!C35+Ивански!C35+'Илия Блъсково'!C35+Кладенец!C35+Коньовец!C35+'Костена река'!C35+Лозево!C35+Мадара!C35+Мараш!C35+'Мътница '!C35+Макак!C35+Новосел!C35+Овчарово!C35+'Панайот Волов'!C35+'Радко Димитриево'!C35+Салманово!C35+Средня!C35+Струйно!C35+'Царев Брод'!C35+Черенча!C35</f>
        <v>0</v>
      </c>
      <c r="D35" s="33">
        <f>Белокопитово!D32+Благово!D33+'Васил Друмев'!D33+Велино!D35+Ветрище!D35+Вехтово!D35+Градище!D35+Дибич!D35+Дивдядово!D35+Друмево!D35+Ивански!D35+'Илия Блъсково'!D35+Кладенец!D35+Коньовец!D35+'Костена река'!D35+Лозево!D35+Мадара!D35+Мараш!D35+'Мътница '!D35+Макак!D35+Новосел!D35+Овчарово!D35+'Панайот Волов'!D35+'Радко Димитриево'!D35+Салманово!D35+Средня!D35+Струйно!D35+'Царев Брод'!D35+Черенча!D35</f>
        <v>0</v>
      </c>
      <c r="E35" s="33">
        <f>Белокопитово!D32+Благово!E33+'Васил Друмев'!E33+Велино!E35+Ветрище!E35+Вехтово!E35+Градище!E35+Дибич!E35+Дивдядово!E35+Друмево!E35+Ивански!E35+'Илия Блъсково'!E35+Кладенец!E35+Коньовец!E35+'Костена река'!E35+Лозево!E35+Мадара!E35+Мараш!E35+'Мътница '!E35+Макак!E35+Новосел!E35+Овчарово!E35+'Панайот Волов'!E35+'Радко Димитриево'!E35+Салманово!E35+Средня!E35+Струйно!E35+'Царев Брод'!E35+Черенча!E35</f>
        <v>0</v>
      </c>
      <c r="F35" s="77">
        <f>Белокопитово!F32+Благово!F33+'Васил Друмев'!F33+Велино!F35+Ветрище!F35+Вехтово!F35+Градище!F35+Дибич!F35+Дивдядово!F35+Друмево!F35+Ивански!F35+'Илия Блъсково'!F35+Кладенец!F35+Коньовец!F35+'Костена река'!F35+Лозево!F35+Мадара!F35+Мараш!F35+'Мътница '!F35+Макак!F35+Новосел!F35+Овчарово!F35+'Панайот Волов'!F35+'Радко Димитриево'!F35+Салманово!F35+Средня!F35+Струйно!F35+'Царев Брод'!F35+Черенча!F35</f>
        <v>0</v>
      </c>
      <c r="G35" s="77">
        <f>Белокопитово!G32+Благово!G33+'Васил Друмев'!G33+Велино!G35+Ветрище!G35+Вехтово!G35+Градище!G35+Дибич!G35+Дивдядово!G35+Друмево!G35+Ивански!G35+'Илия Блъсково'!G35+Кладенец!G35+Коньовец!G35+'Костена река'!G35+Лозево!G35+Мадара!G35+Мараш!G35+'Мътница '!G35+Макак!G35+Новосел!G35+Овчарово!G35+'Панайот Волов'!G35+'Радко Димитриево'!G35+Салманово!G35+Средня!G35+Струйно!G35+'Царев Брод'!G35+Черенча!G35</f>
        <v>0</v>
      </c>
      <c r="H35" s="77">
        <f>Белокопитово!H32+Благово!H33+'Васил Друмев'!H33+Велино!H35+Ветрище!H35+Вехтово!H35+Градище!H35+Дибич!H35+Дивдядово!H35+Друмево!H35+Ивански!H35+'Илия Блъсково'!H35+Кладенец!H35+Коньовец!H35+'Костена река'!H35+Лозево!H35+Мадара!H35+Мараш!H35+'Мътница '!H35+Макак!H35+Новосел!H35+Овчарово!H35+'Панайот Волов'!H35+'Радко Димитриево'!H35+Салманово!H35+Средня!H35+Струйно!H35+'Царев Брод'!H35+Черенча!H35</f>
        <v>0</v>
      </c>
      <c r="I35" s="77"/>
      <c r="J35" s="77"/>
      <c r="K35" s="33">
        <f>Белокопитово!K32+Благово!K33+'Васил Друмев'!K33+Велино!K35+Ветрище!K35+Вехтово!K35+Градище!K35+Дибич!K35+Дивдядово!K35+Друмево!K35+Ивански!K35+'Илия Блъсково'!K35+Кладенец!K35+Коньовец!K35+'Костена река'!K35+Лозево!K35+Мадара!K35+Мараш!K35+'Мътница '!K35+Макак!K35+Новосел!K35+Овчарово!K35+'Панайот Волов'!K35+'Радко Димитриево'!K35+Салманово!K35+Средня!K35+Струйно!K35+'Царев Брод'!K35+Черенча!K35</f>
        <v>0</v>
      </c>
      <c r="L35" s="77">
        <f>Белокопитово!L32+Благово!L33+'Васил Друмев'!L33+Велино!L35+Ветрище!L35+Вехтово!L35+Градище!L35+Дибич!L35+Дивдядово!L35+Друмево!L35+Ивански!L35+'Илия Блъсково'!L35+Кладенец!L35+Коньовец!L35+'Костена река'!L35+Лозево!L35+Мадара!L35+Мараш!L35+'Мътница '!L35+Макак!L35+Новосел!L35+Овчарово!L35+'Панайот Волов'!L35+'Радко Димитриево'!L35+Салманово!L35+Средня!L35+Струйно!L35+'Царев Брод'!L35+Черенча!L35</f>
        <v>0</v>
      </c>
      <c r="M35" s="33">
        <f>Белокопитово!K32+Благово!M33+'Васил Друмев'!M33+Велино!M35+Ветрище!M35+Вехтово!M35+Градище!M35+Дибич!M35+Дивдядово!M35+Друмево!M35+Ивански!M35+'Илия Блъсково'!M35+Кладенец!M35+Коньовец!M35+'Костена река'!M35+Лозево!M35+Мадара!M35+Мараш!M35+'Мътница '!M35+Макак!M35+Новосел!M35+Овчарово!M35+'Панайот Волов'!M35+'Радко Димитриево'!M35+Салманово!M35+Средня!M35+Струйно!M35+'Царев Брод'!M35+Черенча!M35</f>
        <v>0</v>
      </c>
      <c r="N35" s="77">
        <f>Белокопитово!N32+Благово!N33+'Васил Друмев'!N33+Велино!N35+Ветрище!N35+Вехтово!N35+Градище!N35+Дибич!N35+Дивдядово!N35+Друмево!N35+Ивански!N35+'Илия Блъсково'!N35+Кладенец!N35+Коньовец!N35+'Костена река'!N35+Лозево!N35+Мадара!N35+Мараш!N35+'Мътница '!N35+Макак!N35+Новосел!N35+Овчарово!N35+'Панайот Волов'!N35+'Радко Димитриево'!N35+Салманово!N35+Средня!N35+Струйно!N35+'Царев Брод'!N35+Черенча!N35</f>
        <v>0</v>
      </c>
      <c r="O35" s="30">
        <f>Белокопитово!O32+Благово!O33+'Васил Друмев'!O33+Велино!O35+Ветрище!O35+Вехтово!O35+Градище!O35+Дибич!O35+Дивдядово!O35+Друмево!O35+Ивански!O35+'Илия Блъсково'!O35+Кладенец!O35+Коньовец!O35+'Костена река'!O35+Лозево!O35+Мадара!O35+Мараш!O35+'Мътница '!O35+Макак!O35+Новосел!O35+Овчарово!O35+'Панайот Волов'!O35+'Радко Димитриево'!O35+Салманово!O35+Средня!O35+Струйно!O35+'Царев Брод'!O35+Черенча!O35</f>
        <v>0</v>
      </c>
      <c r="P35" s="85">
        <f>Белокопитово!P32+Благово!P33+'Васил Друмев'!P33+Велино!P35+Ветрище!P35+Вехтово!P35+Градище!P35+Дибич!P35+Дивдядово!P35+Друмево!P35+Ивански!P35+'Илия Блъсково'!P35+Кладенец!P35+Коньовец!P35+'Костена река'!P35+Лозево!P35+Мадара!P35+Мараш!P35+'Мътница '!P35+Макак!P35+Новосел!P35+Овчарово!P35+'Панайот Волов'!P35+'Радко Димитриево'!P35+Салманово!P35+Средня!P35+Струйно!P35+'Царев Брод'!P35+Черенча!P35</f>
        <v>0</v>
      </c>
      <c r="R35" s="123"/>
    </row>
    <row r="36" spans="1:18" s="2" customFormat="1" ht="15">
      <c r="A36" s="29" t="s">
        <v>23</v>
      </c>
      <c r="B36" s="26" t="s">
        <v>9</v>
      </c>
      <c r="C36" s="33">
        <f>Белокопитово!C33+Благово!C34+'Васил Друмев'!C34+Велино!C36+Ветрище!C36+Вехтово!C36+Градище!C36+Дибич!C36+Дивдядово!C36+Друмево!C36+Ивански!C36+'Илия Блъсково'!C36+Кладенец!C36+Коньовец!C36+'Костена река'!C36+Лозево!C36+Мадара!C36+Мараш!C36+'Мътница '!C36+Макак!C36+Новосел!C36+Овчарово!C36+'Панайот Волов'!C36+'Радко Димитриево'!C36+Салманово!C36+Средня!C36+Струйно!C36+'Царев Брод'!C36+Черенча!C36</f>
        <v>0</v>
      </c>
      <c r="D36" s="77">
        <f>Белокопитово!D33+Благово!D34+'Васил Друмев'!D34+Велино!D36+Ветрище!D36+Вехтово!D36+Градище!D36+Дибич!D36+Дивдядово!D36+Друмево!D36+Ивански!D36+'Илия Блъсково'!D36+Кладенец!D36+Коньовец!D36+'Костена река'!D36+Лозево!D36+Мадара!D36+Мараш!D36+'Мътница '!D36+Макак!D36+Новосел!D36+Овчарово!D36+'Панайот Волов'!D36+'Радко Димитриево'!D36+Салманово!D36+Средня!D36+Струйно!D36+'Царев Брод'!D36+Черенча!D36</f>
        <v>0</v>
      </c>
      <c r="E36" s="33">
        <f>Белокопитово!D33+Благово!E34+'Васил Друмев'!E34+Велино!E36+Ветрище!E36+Вехтово!E36+Градище!E36+Дибич!E36+Дивдядово!E36+Друмево!E36+Ивански!E36+'Илия Блъсково'!E36+Кладенец!E36+Коньовец!E36+'Костена река'!E36+Лозево!E36+Мадара!E36+Мараш!E36+'Мътница '!E36+Макак!E36+Новосел!E36+Овчарово!E36+'Панайот Волов'!E36+'Радко Димитриево'!E36+Салманово!E36+Средня!E36+Струйно!E36+'Царев Брод'!E36+Черенча!E36</f>
        <v>0</v>
      </c>
      <c r="F36" s="77">
        <f>Белокопитово!F33+Благово!F34+'Васил Друмев'!F34+Велино!F36+Ветрище!F36+Вехтово!F36+Градище!F36+Дибич!F36+Дивдядово!F36+Друмево!F36+Ивански!F36+'Илия Блъсково'!F36+Кладенец!F36+Коньовец!F36+'Костена река'!F36+Лозево!F36+Мадара!F36+Мараш!F36+'Мътница '!F36+Макак!F36+Новосел!F36+Овчарово!F36+'Панайот Волов'!F36+'Радко Димитриево'!F36+Салманово!F36+Средня!F36+Струйно!F36+'Царев Брод'!F36+Черенча!F36</f>
        <v>0</v>
      </c>
      <c r="G36" s="77">
        <f>Белокопитово!G33+Благово!G34+'Васил Друмев'!G34+Велино!G36+Ветрище!G36+Вехтово!G36+Градище!G36+Дибич!G36+Дивдядово!G36+Друмево!G36+Ивански!G36+'Илия Блъсково'!G36+Кладенец!G36+Коньовец!G36+'Костена река'!G36+Лозево!G36+Мадара!G36+Мараш!G36+'Мътница '!G36+Макак!G36+Новосел!G36+Овчарово!G36+'Панайот Волов'!G36+'Радко Димитриево'!G36+Салманово!G36+Средня!G36+Струйно!G36+'Царев Брод'!G36+Черенча!G36</f>
        <v>0</v>
      </c>
      <c r="H36" s="77">
        <f>Белокопитово!H33+Благово!H34+'Васил Друмев'!H34+Велино!H36+Ветрище!H36+Вехтово!H36+Градище!H36+Дибич!H36+Дивдядово!H36+Друмево!H36+Ивански!H36+'Илия Блъсково'!H36+Кладенец!H36+Коньовец!H36+'Костена река'!H36+Лозево!H36+Мадара!H36+Мараш!H36+'Мътница '!H36+Макак!H36+Новосел!H36+Овчарово!H36+'Панайот Волов'!H36+'Радко Димитриево'!H36+Салманово!H36+Средня!H36+Струйно!H36+'Царев Брод'!H36+Черенча!H36</f>
        <v>0</v>
      </c>
      <c r="I36" s="77"/>
      <c r="J36" s="77"/>
      <c r="K36" s="33">
        <f>Белокопитово!K33+Благово!K34+'Васил Друмев'!K34+Велино!K36+Ветрище!K36+Вехтово!K36+Градище!K36+Дибич!K36+Дивдядово!K36+Друмево!K36+Ивански!K36+'Илия Блъсково'!K36+Кладенец!K36+Коньовец!K36+'Костена река'!K36+Лозево!K36+Мадара!K36+Мараш!K36+'Мътница '!K36+Макак!K36+Новосел!K36+Овчарово!K36+'Панайот Волов'!K36+'Радко Димитриево'!K36+Салманово!K36+Средня!K36+Струйно!K36+'Царев Брод'!K36+Черенча!K36</f>
        <v>0</v>
      </c>
      <c r="L36" s="77">
        <f>Белокопитово!L33+Благово!L34+'Васил Друмев'!L34+Велино!L36+Ветрище!L36+Вехтово!L36+Градище!L36+Дибич!L36+Дивдядово!L36+Друмево!L36+Ивански!L36+'Илия Блъсково'!L36+Кладенец!L36+Коньовец!L36+'Костена река'!L36+Лозево!L36+Мадара!L36+Мараш!L36+'Мътница '!L36+Макак!L36+Новосел!L36+Овчарово!L36+'Панайот Волов'!L36+'Радко Димитриево'!L36+Салманово!L36+Средня!L36+Струйно!L36+'Царев Брод'!L36+Черенча!L36</f>
        <v>0</v>
      </c>
      <c r="M36" s="33">
        <f>Белокопитово!K33+Благово!M34+'Васил Друмев'!M34+Велино!M36+Ветрище!M36+Вехтово!M36+Градище!M36+Дибич!M36+Дивдядово!M36+Друмево!M36+Ивански!M36+'Илия Блъсково'!M36+Кладенец!M36+Коньовец!M36+'Костена река'!M36+Лозево!M36+Мадара!M36+Мараш!M36+'Мътница '!M36+Макак!M36+Новосел!M36+Овчарово!M36+'Панайот Волов'!M36+'Радко Димитриево'!M36+Салманово!M36+Средня!M36+Струйно!M36+'Царев Брод'!M36+Черенча!M36</f>
        <v>0</v>
      </c>
      <c r="N36" s="77">
        <f>Белокопитово!N33+Благово!N34+'Васил Друмев'!N34+Велино!N36+Ветрище!N36+Вехтово!N36+Градище!N36+Дибич!N36+Дивдядово!N36+Друмево!N36+Ивански!N36+'Илия Блъсково'!N36+Кладенец!N36+Коньовец!N36+'Костена река'!N36+Лозево!N36+Мадара!N36+Мараш!N36+'Мътница '!N36+Макак!N36+Новосел!N36+Овчарово!N36+'Панайот Волов'!N36+'Радко Димитриево'!N36+Салманово!N36+Средня!N36+Струйно!N36+'Царев Брод'!N36+Черенча!N36</f>
        <v>0</v>
      </c>
      <c r="O36" s="30">
        <f>Белокопитово!O33+Благово!O34+'Васил Друмев'!O34+Велино!O36+Ветрище!O36+Вехтово!O36+Градище!O36+Дибич!O36+Дивдядово!O36+Друмево!O36+Ивански!O36+'Илия Блъсково'!O36+Кладенец!O36+Коньовец!O36+'Костена река'!O36+Лозево!O36+Мадара!O36+Мараш!O36+'Мътница '!O36+Макак!O36+Новосел!O36+Овчарово!O36+'Панайот Волов'!O36+'Радко Димитриево'!O36+Салманово!O36+Средня!O36+Струйно!O36+'Царев Брод'!O36+Черенча!O36</f>
        <v>0</v>
      </c>
      <c r="P36" s="85">
        <f>Белокопитово!P33+Благово!P34+'Васил Друмев'!P34+Велино!P36+Ветрище!P36+Вехтово!P36+Градище!P36+Дибич!P36+Дивдядово!P36+Друмево!P36+Ивански!P36+'Илия Блъсково'!P36+Кладенец!P36+Коньовец!P36+'Костена река'!P36+Лозево!P36+Мадара!P36+Мараш!P36+'Мътница '!P36+Макак!P36+Новосел!P36+Овчарово!P36+'Панайот Волов'!P36+'Радко Димитриево'!P36+Салманово!P36+Средня!P36+Струйно!P36+'Царев Брод'!P36+Черенча!P36</f>
        <v>0</v>
      </c>
      <c r="R36" s="123"/>
    </row>
    <row r="37" spans="1:18" s="2" customFormat="1" ht="30">
      <c r="A37" s="29" t="s">
        <v>29</v>
      </c>
      <c r="B37" s="26" t="s">
        <v>16</v>
      </c>
      <c r="C37" s="33">
        <f>Белокопитово!C34+Благово!C35+'Васил Друмев'!C35+Велино!C37+Ветрище!C37+Вехтово!C37+Градище!C37+Дибич!C37+Дивдядово!C37+Друмево!C37+Ивански!C37+'Илия Блъсково'!C37+Кладенец!C37+Коньовец!C37+'Костена река'!C37+Лозево!C37+Мадара!C37+Мараш!C37+'Мътница '!C37+Макак!C37+Новосел!C37+Овчарово!C37+'Панайот Волов'!C37+'Радко Димитриево'!C37+Салманово!C37+Средня!C37+Струйно!C37+'Царев Брод'!C37+Черенча!C37</f>
        <v>0</v>
      </c>
      <c r="D37" s="77">
        <f>Белокопитово!D34+Благово!D35+'Васил Друмев'!D35+Велино!D37+Ветрище!D37+Вехтово!D37+Градище!D37+Дибич!D37+Дивдядово!D37+Друмево!D37+Ивански!D37+'Илия Блъсково'!D37+Кладенец!D37+Коньовец!D37+'Костена река'!D37+Лозево!D37+Мадара!D37+Мараш!D37+'Мътница '!D37+Макак!D37+Новосел!D37+Овчарово!D37+'Панайот Волов'!D37+'Радко Димитриево'!D37+Салманово!D37+Средня!D37+Струйно!D37+'Царев Брод'!D37+Черенча!D37</f>
        <v>0</v>
      </c>
      <c r="E37" s="33">
        <f>Белокопитово!D34+Благово!E35+'Васил Друмев'!E35+Велино!E37+Ветрище!E37+Вехтово!E37+Градище!E37+Дибич!E37+Дивдядово!E37+Друмево!E37+Ивански!E37+'Илия Блъсково'!E37+Кладенец!E37+Коньовец!E37+'Костена река'!E37+Лозево!E37+Мадара!E37+Мараш!E37+'Мътница '!E37+Макак!E37+Новосел!E37+Овчарово!E37+'Панайот Волов'!E37+'Радко Димитриево'!E37+Салманово!E37+Средня!E37+Струйно!E37+'Царев Брод'!E37+Черенча!E37</f>
        <v>0</v>
      </c>
      <c r="F37" s="77">
        <f>Белокопитово!F34+Благово!F35+'Васил Друмев'!F35+Велино!F37+Ветрище!F37+Вехтово!F37+Градище!F37+Дибич!F37+Дивдядово!F37+Друмево!F37+Ивански!F37+'Илия Блъсково'!F37+Кладенец!F37+Коньовец!F37+'Костена река'!F37+Лозево!F37+Мадара!F37+Мараш!F37+'Мътница '!F37+Макак!F37+Новосел!F37+Овчарово!F37+'Панайот Волов'!F37+'Радко Димитриево'!F37+Салманово!F37+Средня!F37+Струйно!F37+'Царев Брод'!F37+Черенча!F37</f>
        <v>0</v>
      </c>
      <c r="G37" s="77">
        <f>Белокопитово!G34+Благово!G35+'Васил Друмев'!G35+Велино!G37+Ветрище!G37+Вехтово!G37+Градище!G37+Дибич!G37+Дивдядово!G37+Друмево!G37+Ивански!G37+'Илия Блъсково'!G37+Кладенец!G37+Коньовец!G37+'Костена река'!G37+Лозево!G37+Мадара!G37+Мараш!G37+'Мътница '!G37+Макак!G37+Новосел!G37+Овчарово!G37+'Панайот Волов'!G37+'Радко Димитриево'!G37+Салманово!G37+Средня!G37+Струйно!G37+'Царев Брод'!G37+Черенча!G37</f>
        <v>0</v>
      </c>
      <c r="H37" s="77">
        <f>Белокопитово!H34+Благово!H35+'Васил Друмев'!H35+Велино!H37+Ветрище!H37+Вехтово!H37+Градище!H37+Дибич!H37+Дивдядово!H37+Друмево!H37+Ивански!H37+'Илия Блъсково'!H37+Кладенец!H37+Коньовец!H37+'Костена река'!H37+Лозево!H37+Мадара!H37+Мараш!H37+'Мътница '!H37+Макак!H37+Новосел!H37+Овчарово!H37+'Панайот Волов'!H37+'Радко Димитриево'!H37+Салманово!H37+Средня!H37+Струйно!H37+'Царев Брод'!H37+Черенча!H37</f>
        <v>0</v>
      </c>
      <c r="I37" s="77"/>
      <c r="J37" s="77"/>
      <c r="K37" s="33">
        <f>Белокопитово!K34+Благово!K35+'Васил Друмев'!K35+Велино!K37+Ветрище!K37+Вехтово!K37+Градище!K37+Дибич!K37+Дивдядово!K37+Друмево!K37+Ивански!K37+'Илия Блъсково'!K37+Кладенец!K37+Коньовец!K37+'Костена река'!K37+Лозево!K37+Мадара!K37+Мараш!K37+'Мътница '!K37+Макак!K37+Новосел!K37+Овчарово!K37+'Панайот Волов'!K37+'Радко Димитриево'!K37+Салманово!K37+Средня!K37+Струйно!K37+'Царев Брод'!K37+Черенча!K37</f>
        <v>0</v>
      </c>
      <c r="L37" s="77">
        <f>Белокопитово!L34+Благово!L35+'Васил Друмев'!L35+Велино!L37+Ветрище!L37+Вехтово!L37+Градище!L37+Дибич!L37+Дивдядово!L37+Друмево!L37+Ивански!L37+'Илия Блъсково'!L37+Кладенец!L37+Коньовец!L37+'Костена река'!L37+Лозево!L37+Мадара!L37+Мараш!L37+'Мътница '!L37+Макак!L37+Новосел!L37+Овчарово!L37+'Панайот Волов'!L37+'Радко Димитриево'!L37+Салманово!L37+Средня!L37+Струйно!L37+'Царев Брод'!L37+Черенча!L37</f>
        <v>0</v>
      </c>
      <c r="M37" s="33">
        <f>Белокопитово!K34+Благово!M35+'Васил Друмев'!M35+Велино!M37+Ветрище!M37+Вехтово!M37+Градище!M37+Дибич!M37+Дивдядово!M37+Друмево!M37+Ивански!M37+'Илия Блъсково'!M37+Кладенец!M37+Коньовец!M37+'Костена река'!M37+Лозево!M37+Мадара!M37+Мараш!M37+'Мътница '!M37+Макак!M37+Новосел!M37+Овчарово!M37+'Панайот Волов'!M37+'Радко Димитриево'!M37+Салманово!M37+Средня!M37+Струйно!M37+'Царев Брод'!M37+Черенча!M37</f>
        <v>0</v>
      </c>
      <c r="N37" s="77">
        <f>Белокопитово!N34+Благово!N35+'Васил Друмев'!N35+Велино!N37+Ветрище!N37+Вехтово!N37+Градище!N37+Дибич!N37+Дивдядово!N37+Друмево!N37+Ивански!N37+'Илия Блъсково'!N37+Кладенец!N37+Коньовец!N37+'Костена река'!N37+Лозево!N37+Мадара!N37+Мараш!N37+'Мътница '!N37+Макак!N37+Новосел!N37+Овчарово!N37+'Панайот Волов'!N37+'Радко Димитриево'!N37+Салманово!N37+Средня!N37+Струйно!N37+'Царев Брод'!N37+Черенча!N37</f>
        <v>0</v>
      </c>
      <c r="O37" s="30">
        <f>Белокопитово!O34+Благово!O35+'Васил Друмев'!O35+Велино!O37+Ветрище!O37+Вехтово!O37+Градище!O37+Дибич!O37+Дивдядово!O37+Друмево!O37+Ивански!O37+'Илия Блъсково'!O37+Кладенец!O37+Коньовец!O37+'Костена река'!O37+Лозево!O37+Мадара!O37+Мараш!O37+'Мътница '!O37+Макак!O37+Новосел!O37+Овчарово!O37+'Панайот Волов'!O37+'Радко Димитриево'!O37+Салманово!O37+Средня!O37+Струйно!O37+'Царев Брод'!O37+Черенча!O37</f>
        <v>0</v>
      </c>
      <c r="P37" s="85">
        <f>Белокопитово!P34+Благово!P35+'Васил Друмев'!P35+Велино!P37+Ветрище!P37+Вехтово!P37+Градище!P37+Дибич!P37+Дивдядово!P37+Друмево!P37+Ивански!P37+'Илия Блъсково'!P37+Кладенец!P37+Коньовец!P37+'Костена река'!P37+Лозево!P37+Мадара!P37+Мараш!P37+'Мътница '!P37+Макак!P37+Новосел!P37+Овчарово!P37+'Панайот Волов'!P37+'Радко Димитриево'!P37+Салманово!P37+Средня!P37+Струйно!P37+'Царев Брод'!P37+Черенча!P37</f>
        <v>0</v>
      </c>
      <c r="R37" s="123"/>
    </row>
    <row r="38" spans="1:20" s="121" customFormat="1" ht="15">
      <c r="A38" s="115" t="s">
        <v>30</v>
      </c>
      <c r="B38" s="116" t="s">
        <v>10</v>
      </c>
      <c r="C38" s="117">
        <f>Белокопитово!C35+Благово!C36+'Васил Друмев'!C36+Велино!C38+Ветрище!C38+Вехтово!C38+Градище!C38+Дибич!C38+Дивдядово!C38+Друмево!C38+Ивански!C38+'Илия Блъсково'!C38+Кладенец!C38+Коньовец!C38+'Костена река'!C38+Лозево!C38+Мадара!C38+Мараш!C38+'Мътница '!C38+Макак!C38+Новосел!C38+Овчарово!C38+'Панайот Волов'!C38+'Радко Димитриево'!C38+Салманово!C38+Средня!C38+Струйно!C38+'Царев Брод'!C38+Черенча!C38</f>
        <v>0</v>
      </c>
      <c r="D38" s="118">
        <f>Белокопитово!D35+Благово!D36+'Васил Друмев'!D36+Велино!D38+Ветрище!D38+Вехтово!D38+Градище!D38+Дибич!D38+Дивдядово!D38+Друмево!D38+Ивански!D38+'Илия Блъсково'!D38+Кладенец!D38+Коньовец!D38+'Костена река'!D38+Лозево!D38+Мадара!D38+Мараш!D38+'Мътница '!D38+Макак!D38+Новосел!D38+Овчарово!D38+'Панайот Волов'!D38+'Радко Димитриево'!D38+Салманово!D38+Средня!D38+Струйно!D38+'Царев Брод'!D38+Черенча!D38</f>
        <v>0</v>
      </c>
      <c r="E38" s="117">
        <f>Белокопитово!E35+Благово!E36+'Васил Друмев'!E36+Велино!E38+Ветрище!E38+Вехтово!E38+Градище!E38+Дибич!E38+Дивдядово!E38+Друмево!E38+Ивански!E38+'Илия Блъсково'!E38+Кладенец!E38+Коньовец!E38+'Костена река'!E38+Лозево!E38+Мадара!E38+Мараш!E38+'Мътница '!E38+Макак!E38+Новосел!E38+Овчарово!E38+'Панайот Волов'!E38+'Радко Димитриево'!E38+Салманово!E38+Средня!E38+Струйно!E38+'Царев Брод'!E38+Черенча!E38</f>
        <v>5826.8</v>
      </c>
      <c r="F38" s="118">
        <f>Белокопитово!F35+Благово!F36+'Васил Друмев'!F36+Велино!F38+Ветрище!F38+Вехтово!F38+Градище!F38+Дибич!F38+Дивдядово!F38+Друмево!F38+Ивански!F38+'Илия Блъсково'!F38+Кладенец!F38+Коньовец!F38+'Костена река'!F38+Лозево!F38+Мадара!F38+Мараш!F38+'Мътница '!F38+Макак!F38+Новосел!F38+Овчарово!F38+'Панайот Волов'!F38+'Радко Димитриево'!F38+Салманово!F38+Средня!F38+Струйно!F38+'Царев Брод'!F38+Черенча!F38</f>
        <v>9417.73</v>
      </c>
      <c r="G38" s="118">
        <f>Белокопитово!G35+Благово!G36+'Васил Друмев'!G36+Велино!G38+Ветрище!G38+Вехтово!G38+Градище!G38+Дибич!G38+Дивдядово!G38+Друмево!G38+Ивански!G38+'Илия Блъсково'!G38+Кладенец!G38+Коньовец!G38+'Костена река'!G38+Лозево!G38+Мадара!G38+Мараш!G38+'Мътница '!G38+Макак!G38+Новосел!G38+Овчарово!G38+'Панайот Волов'!G38+'Радко Димитриево'!G38+Салманово!G38+Средня!G38+Струйно!G38+'Царев Брод'!G38+Черенча!G38</f>
        <v>0</v>
      </c>
      <c r="H38" s="118">
        <f>Белокопитово!H35+Благово!H36+'Васил Друмев'!H36+Велино!H38+Ветрище!H38+Вехтово!H38+Градище!H38+Дибич!H38+Дивдядово!H38+Друмево!H38+Ивански!H38+'Илия Блъсково'!H38+Кладенец!H38+Коньовец!H38+'Костена река'!H38+Лозево!H38+Мадара!H38+Мараш!H38+'Мътница '!H38+Макак!H38+Новосел!H38+Овчарово!H38+'Панайот Волов'!H38+'Радко Димитриево'!H38+Салманово!H38+Средня!H38+Струйно!H38+'Царев Брод'!H38+Черенча!H38</f>
        <v>0</v>
      </c>
      <c r="I38" s="118"/>
      <c r="J38" s="118"/>
      <c r="K38" s="117">
        <f>Белокопитово!K35+Благово!K36+'Васил Друмев'!K36+Велино!K38+Ветрище!K38+Вехтово!K38+Градище!K38+Дибич!K38+Дивдядово!K38+Друмево!K38+Ивански!K38+'Илия Блъсково'!K38+Кладенец!K38+Коньовец!K38+'Костена река'!K38+Лозево!K38+Мадара!K38+Мараш!K38+'Мътница '!K38+Макак!K38+Новосел!K38+Овчарово!K38+'Панайот Волов'!K38+'Радко Димитриево'!K38+Салманово!K38+Средня!K38+Струйно!K38+'Царев Брод'!K38+Черенча!K38</f>
        <v>0</v>
      </c>
      <c r="L38" s="118">
        <f>Белокопитово!L35+Благово!L36+'Васил Друмев'!L36+Велино!L38+Ветрище!L38+Вехтово!L38+Градище!L38+Дибич!L38+Дивдядово!L38+Друмево!L38+Ивански!L38+'Илия Блъсково'!L38+Кладенец!L38+Коньовец!L38+'Костена река'!L38+Лозево!L38+Мадара!L38+Мараш!L38+'Мътница '!L38+Макак!L38+Новосел!L38+Овчарово!L38+'Панайот Волов'!L38+'Радко Димитриево'!L38+Салманово!L38+Средня!L38+Струйно!L38+'Царев Брод'!L38+Черенча!L38</f>
        <v>1089</v>
      </c>
      <c r="M38" s="117">
        <f>Белокопитово!K35+Благово!M36+'Васил Друмев'!M36+Велино!M38+Ветрище!M38+Вехтово!M38+Градище!M38+Дибич!M38+Дивдядово!M38+Друмево!M38+Ивански!M38+'Илия Блъсково'!M38+Кладенец!M38+Коньовец!M38+'Костена река'!M38+Лозево!M38+Мадара!M38+Мараш!M38+'Мътница '!M38+Макак!M38+Новосел!M38+Овчарово!M38+'Панайот Волов'!M38+'Радко Димитриево'!M38+Салманово!M38+Средня!M38+Струйно!M38+'Царев Брод'!M38+Черенча!M38</f>
        <v>0</v>
      </c>
      <c r="N38" s="118">
        <f>Белокопитово!N35+Благово!N36+'Васил Друмев'!N36+Велино!N38+Ветрище!N38+Вехтово!N38+Градище!N38+Дибич!N38+Дивдядово!N38+Друмево!N38+Ивански!N38+'Илия Блъсково'!N38+Кладенец!N38+Коньовец!N38+'Костена река'!N38+Лозево!N38+Мадара!N38+Мараш!N38+'Мътница '!N38+Макак!N38+Новосел!N38+Овчарово!N38+'Панайот Волов'!N38+'Радко Димитриево'!N38+Салманово!N38+Средня!N38+Струйно!N38+'Царев Брод'!N38+Черенча!N38</f>
        <v>0</v>
      </c>
      <c r="O38" s="119">
        <f>Белокопитово!O35+Благово!O36+'Васил Друмев'!O36+Велино!O38+Ветрище!O38+Вехтово!O38+Градище!O38+Дибич!O38+Дивдядово!O38+Друмево!O38+Ивански!O38+'Илия Блъсково'!O38+Кладенец!O38+Коньовец!O38+'Костена река'!O38+Лозево!O38+Мадара!O38+Мараш!O38+'Мътница '!O38+Макак!O38+Новосел!O38+Овчарово!O38+'Панайот Волов'!O38+'Радко Димитриево'!O38+Салманово!O38+Средня!O38+Струйно!O38+'Царев Брод'!O38+Черенча!O38</f>
        <v>5826.8</v>
      </c>
      <c r="P38" s="120">
        <f>Белокопитово!P35+Благово!P36+'Васил Друмев'!P36+Велино!P38+Ветрище!P38+Вехтово!P38+Градище!P38+Дибич!P38+Дивдядово!P38+Друмево!P38+Ивански!P38+'Илия Блъсково'!P38+Кладенец!P38+Коньовец!P38+'Костена река'!P38+Лозево!P38+Мадара!P38+Мараш!P38+'Мътница '!P38+Макак!P38+Новосел!P38+Овчарово!P38+'Панайот Волов'!P38+'Радко Димитриево'!P38+Салманово!P38+Средня!P38+Струйно!P38+'Царев Брод'!P38+Черенча!P38</f>
        <v>10506.730000000001</v>
      </c>
      <c r="R38" s="123">
        <f>'РАЗХОДИ ПО КМЕТСТВА'!F35+'РАЗХОДИ ПО КМЕТСТВА'!G35-'ОБЩО КМЕТСТВА'!P38+'РАЗХОДИ ПО КМЕТСТВА'!R35</f>
        <v>0</v>
      </c>
      <c r="T38" s="122"/>
    </row>
    <row r="39" spans="1:18" s="2" customFormat="1" ht="45">
      <c r="A39" s="29" t="s">
        <v>62</v>
      </c>
      <c r="B39" s="26" t="s">
        <v>11</v>
      </c>
      <c r="C39" s="33">
        <f>Белокопитово!C36+Благово!C37+'Васил Друмев'!C37+Велино!C39+Ветрище!C39+Вехтово!C39+Градище!C39+Дибич!C39+Дивдядово!C39+Друмево!C39+Ивански!C39+'Илия Блъсково'!C39+Кладенец!C39+Коньовец!C39+'Костена река'!C39+Лозево!C39+Мадара!C39+Мараш!C39+'Мътница '!C39+Макак!C39+Новосел!C39+Овчарово!C39+'Панайот Волов'!C39+'Радко Димитриево'!C39+Салманово!C39+Средня!C39+Струйно!C39+'Царев Брод'!C39+Черенча!C39</f>
        <v>0</v>
      </c>
      <c r="D39" s="77">
        <f>Белокопитово!D36+Благово!D37+'Васил Друмев'!D37+Велино!D39+Ветрище!D39+Вехтово!D39+Градище!D39+Дибич!D39+Дивдядово!D39+Друмево!D39+Ивански!D39+'Илия Блъсково'!D39+Кладенец!D39+Коньовец!D39+'Костена река'!D39+Лозево!D39+Мадара!D39+Мараш!D39+'Мътница '!D39+Макак!D39+Новосел!D39+Овчарово!D39+'Панайот Волов'!D39+'Радко Димитриево'!D39+Салманово!D39+Средня!D39+Струйно!D39+'Царев Брод'!D39+Черенча!D39</f>
        <v>0</v>
      </c>
      <c r="E39" s="33">
        <f>Белокопитово!E36+Благово!E37+'Васил Друмев'!E37+Велино!E39+Ветрище!E39+Вехтово!E39+Градище!E39+Дибич!E39+Дивдядово!E39+Друмево!E39+Ивански!E39+'Илия Блъсково'!E39+Кладенец!E39+Коньовец!E39+'Костена река'!E39+Лозево!E39+Мадара!E39+Мараш!E39+'Мътница '!E39+Макак!E39+Новосел!E39+Овчарово!E39+'Панайот Волов'!E39+'Радко Димитриево'!E39+Салманово!E39+Средня!E39+Струйно!E39+'Царев Брод'!E39+Черенча!E39</f>
        <v>30160</v>
      </c>
      <c r="F39" s="77">
        <f>Белокопитово!F36+Благово!F37+'Васил Друмев'!F37+Велино!F39+Ветрище!F39+Вехтово!F39+Градище!F39+Дибич!F39+Дивдядово!F39+Друмево!F39+Ивански!F39+'Илия Блъсково'!F39+Кладенец!F39+Коньовец!F39+'Костена река'!F39+Лозево!F39+Мадара!F39+Мараш!F39+'Мътница '!F39+Макак!F39+Новосел!F39+Овчарово!F39+'Панайот Волов'!F39+'Радко Димитриево'!F39+Салманово!F39+Средня!F39+Струйно!F39+'Царев Брод'!F39+Черенча!F39</f>
        <v>63120.54000000001</v>
      </c>
      <c r="G39" s="77">
        <f>Белокопитово!G36+Благово!G37+'Васил Друмев'!G37+Велино!G39+Ветрище!G39+Вехтово!G39+Градище!G39+Дибич!G39+Дивдядово!G39+Друмево!G39+Ивански!G39+'Илия Блъсково'!G39+Кладенец!G39+Коньовец!G39+'Костена река'!G39+Лозево!G39+Мадара!G39+Мараш!G39+'Мътница '!G39+Макак!G39+Новосел!G39+Овчарово!G39+'Панайот Волов'!G39+'Радко Димитриево'!G39+Салманово!G39+Средня!G39+Струйно!G39+'Царев Брод'!G39+Черенча!G39</f>
        <v>130323</v>
      </c>
      <c r="H39" s="77">
        <f>Белокопитово!H36+Благово!H37+'Васил Друмев'!H37+Велино!H39+Ветрище!H39+Вехтово!H39+Градище!H39+Дибич!H39+Дивдядово!H39+Друмево!H39+Ивански!H39+'Илия Блъсково'!H39+Кладенец!H39+Коньовец!H39+'Костена река'!H39+Лозево!H39+Мадара!H39+Мараш!H39+'Мътница '!H39+Макак!H39+Новосел!H39+Овчарово!H39+'Панайот Волов'!H39+'Радко Димитриево'!H39+Салманово!H39+Средня!H39+Струйно!H39+'Царев Брод'!H39+Черенча!H39</f>
        <v>120018.35000000003</v>
      </c>
      <c r="I39" s="77"/>
      <c r="J39" s="77"/>
      <c r="K39" s="33">
        <f>Белокопитово!K36+Благово!K37+'Васил Друмев'!K37+Велино!K39+Ветрище!K39+Вехтово!K39+Градище!K39+Дибич!K39+Дивдядово!K39+Друмево!K39+Ивански!K39+'Илия Блъсково'!K39+Кладенец!K39+Коньовец!K39+'Костена река'!K39+Лозево!K39+Мадара!K39+Мараш!K39+'Мътница '!K39+Макак!K39+Новосел!K39+Овчарово!K39+'Панайот Волов'!K39+'Радко Димитриево'!K39+Салманово!K39+Средня!K39+Струйно!K39+'Царев Брод'!K39+Черенча!K39</f>
        <v>0</v>
      </c>
      <c r="L39" s="77">
        <f>Белокопитово!L36+Благово!L37+'Васил Друмев'!L37+Велино!L39+Ветрище!L39+Вехтово!L39+Градище!L39+Дибич!L39+Дивдядово!L39+Друмево!L39+Ивански!L39+'Илия Блъсково'!L39+Кладенец!L39+Коньовец!L39+'Костена река'!L39+Лозево!L39+Мадара!L39+Мараш!L39+'Мътница '!L39+Макак!L39+Новосел!L39+Овчарово!L39+'Панайот Волов'!L39+'Радко Димитриево'!L39+Салманово!L39+Средня!L39+Струйно!L39+'Царев Брод'!L39+Черенча!L39</f>
        <v>0</v>
      </c>
      <c r="M39" s="33">
        <f>Белокопитово!K36+Благово!M37+'Васил Друмев'!M37+Велино!M39+Ветрище!M39+Вехтово!M39+Градище!M39+Дибич!M39+Дивдядово!M39+Друмево!M39+Ивански!M39+'Илия Блъсково'!M39+Кладенец!M39+Коньовец!M39+'Костена река'!M39+Лозево!M39+Мадара!M39+Мараш!M39+'Мътница '!M39+Макак!M39+Новосел!M39+Овчарово!M39+'Панайот Волов'!M39+'Радко Димитриево'!M39+Салманово!M39+Средня!M39+Струйно!M39+'Царев Брод'!M39+Черенча!M39</f>
        <v>0</v>
      </c>
      <c r="N39" s="77">
        <f>Белокопитово!N36+Благово!N37+'Васил Друмев'!N37+Велино!N39+Ветрище!N39+Вехтово!N39+Градище!N39+Дибич!N39+Дивдядово!N39+Друмево!N39+Ивански!N39+'Илия Блъсково'!N39+Кладенец!N39+Коньовец!N39+'Костена река'!N39+Лозево!N39+Мадара!N39+Мараш!N39+'Мътница '!N39+Макак!N39+Новосел!N39+Овчарово!N39+'Панайот Волов'!N39+'Радко Димитриево'!N39+Салманово!N39+Средня!N39+Струйно!N39+'Царев Брод'!N39+Черенча!N39</f>
        <v>0</v>
      </c>
      <c r="O39" s="30">
        <f>Белокопитово!O36+Благово!O37+'Васил Друмев'!O37+Велино!O39+Ветрище!O39+Вехтово!O39+Градище!O39+Дибич!O39+Дивдядово!O39+Друмево!O39+Ивански!O39+'Илия Блъсково'!O39+Кладенец!O39+Коньовец!O39+'Костена река'!O39+Лозево!O39+Мадара!O39+Мараш!O39+'Мътница '!O39+Макак!O39+Новосел!O39+Овчарово!O39+'Панайот Волов'!O39+'Радко Димитриево'!O39+Салманово!O39+Средня!O39+Струйно!O39+'Царев Брод'!O39+Черенча!O39</f>
        <v>160483</v>
      </c>
      <c r="P39" s="85">
        <f>Белокопитово!P36+Благово!P37+'Васил Друмев'!P37+Велино!P39+Ветрище!P39+Вехтово!P39+Градище!P39+Дибич!P39+Дивдядово!P39+Друмево!P39+Ивански!P39+'Илия Блъсково'!P39+Кладенец!P39+Коньовец!P39+'Костена река'!P39+Лозево!P39+Мадара!P39+Мараш!P39+'Мътница '!P39+Макак!P39+Новосел!P39+Овчарово!P39+'Панайот Волов'!P39+'Радко Димитриево'!P39+Салманово!P39+Средня!P39+Струйно!P39+'Царев Брод'!P39+Черенча!P39</f>
        <v>183138.89</v>
      </c>
      <c r="R39" s="123">
        <f>'РАЗХОДИ ПО КМЕТСТВА'!C35+'РАЗХОДИ ПО КМЕТСТВА'!D35+'РАЗХОДИ ПО КМЕТСТВА'!N35-'ОБЩО КМЕТСТВА'!P39+'РАЗХОДИ ПО КМЕТСТВА'!E35</f>
        <v>0</v>
      </c>
    </row>
    <row r="40" spans="1:21" ht="30">
      <c r="A40" s="29" t="s">
        <v>61</v>
      </c>
      <c r="B40" s="26" t="s">
        <v>12</v>
      </c>
      <c r="C40" s="33">
        <f>Белокопитово!C37+Благово!C38+'Васил Друмев'!C38+Велино!C40+Ветрище!C40+Вехтово!C40+Градище!C40+Дибич!C40+Дивдядово!C40+Друмево!C40+Ивански!C40+'Илия Блъсково'!C40+Кладенец!C40+Коньовец!C40+'Костена река'!C40+Лозево!C40+Мадара!C40+Мараш!C40+'Мътница '!C40+Макак!C40+Новосел!C40+Овчарово!C40+'Панайот Волов'!C40+'Радко Димитриево'!C40+Салманово!C40+Средня!C40+Струйно!C40+'Царев Брод'!C40+Черенча!C40</f>
        <v>0</v>
      </c>
      <c r="D40" s="77">
        <f>Белокопитово!D37+Благово!D38+'Васил Друмев'!D38+Велино!D40+Ветрище!D40+Вехтово!D40+Градище!D40+Дибич!D40+Дивдядово!D40+Друмево!D40+Ивански!D40+'Илия Блъсково'!D40+Кладенец!D40+Коньовец!D40+'Костена река'!D40+Лозево!D40+Мадара!D40+Мараш!D40+'Мътница '!D40+Макак!D40+Новосел!D40+Овчарово!D40+'Панайот Волов'!D40+'Радко Димитриево'!D40+Салманово!D40+Средня!D40+Струйно!D40+'Царев Брод'!D40+Черенча!D40</f>
        <v>0</v>
      </c>
      <c r="E40" s="33">
        <f>Белокопитово!E37+Благово!E38+'Васил Друмев'!E38+Велино!E40+Ветрище!E40+Вехтово!E40+Градище!E40+Дибич!E40+Дивдядово!E40+Друмево!E40+Ивански!E40+'Илия Блъсково'!E40+Кладенец!E40+Коньовец!E40+'Костена река'!E40+Лозево!E40+Мадара!E40+Мараш!E40+'Мътница '!E40+Макак!E40+Новосел!E40+Овчарово!E40+'Панайот Волов'!E40+'Радко Димитриево'!E40+Салманово!E40+Средня!E40+Струйно!E40+'Царев Брод'!E40+Черенча!E40</f>
        <v>15080</v>
      </c>
      <c r="F40" s="77">
        <f>Белокопитово!F37+Благово!F38+'Васил Друмев'!F38+Велино!F40+Ветрище!F40+Вехтово!F40+Градище!F40+Дибич!F40+Дивдядово!F40+Друмево!F40+Ивански!F40+'Илия Блъсково'!F40+Кладенец!F40+Коньовец!F40+'Костена река'!F40+Лозево!F40+Мадара!F40+Мараш!F40+'Мътница '!F40+Макак!F40+Новосел!F40+Овчарово!F40+'Панайот Волов'!F40+'Радко Димитриево'!F40+Салманово!F40+Средня!F40+Струйно!F40+'Царев Брод'!F40+Черенча!F40</f>
        <v>19600.38</v>
      </c>
      <c r="G40" s="77">
        <f>Белокопитово!G37+Благово!G38+'Васил Друмев'!G38+Велино!G40+Ветрище!G40+Вехтово!G40+Градище!G40+Дибич!G40+Дивдядово!G40+Друмево!G40+Ивански!G40+'Илия Блъсково'!G40+Кладенец!G40+Коньовец!G40+'Костена река'!G40+Лозево!G40+Мадара!G40+Мараш!G40+'Мътница '!G40+Макак!G40+Новосел!G40+Овчарово!G40+'Панайот Волов'!G40+'Радко Димитриево'!G40+Салманово!G40+Средня!G40+Струйно!G40+'Царев Брод'!G40+Черенча!G40</f>
        <v>0</v>
      </c>
      <c r="H40" s="77">
        <f>Белокопитово!H37+Благово!H38+'Васил Друмев'!H38+Велино!H40+Ветрище!H40+Вехтово!H40+Градище!H40+Дибич!H40+Дивдядово!H40+Друмево!H40+Ивански!H40+'Илия Блъсково'!H40+Кладенец!H40+Коньовец!H40+'Костена река'!H40+Лозево!H40+Мадара!H40+Мараш!H40+'Мътница '!H40+Макак!H40+Новосел!H40+Овчарово!H40+'Панайот Волов'!H40+'Радко Димитриево'!H40+Салманово!H40+Средня!H40+Струйно!H40+'Царев Брод'!H40+Черенча!H40</f>
        <v>0</v>
      </c>
      <c r="I40" s="77"/>
      <c r="J40" s="77">
        <f>Белокопитово!J37+Благово!J38+'Васил Друмев'!J38+Велино!J40+Ветрище!J40+Вехтово!J40+Градище!J40+Дибич!J40+Дивдядово!J40+Друмево!J40+Ивански!J40+'Илия Блъсково'!J40+Кладенец!J40+Коньовец!J40+'Костена река'!J40+Лозево!J40+Мадара!J40+Мараш!J40+'Мътница '!J40+Макак!J40+Новосел!J40+Овчарово!J40+'Панайот Волов'!J40+'Радко Димитриево'!J40+Салманово!J40+Средня!J40+Струйно!J40+'Царев Брод'!J40+Черенча!J40</f>
        <v>103173.05999999998</v>
      </c>
      <c r="K40" s="33">
        <f>Белокопитово!K37+Благово!K38+'Васил Друмев'!K38+Велино!K40+Ветрище!K40+Вехтово!K40+Градище!K40+Дибич!K40+Дивдядово!K40+Друмево!K40+Ивански!K40+'Илия Блъсково'!K40+Кладенец!K40+Коньовец!K40+'Костена река'!K40+Лозево!K40+Мадара!K40+Мараш!K40+'Мътница '!K40+Макак!K40+Новосел!K40+Овчарово!K40+'Панайот Волов'!K40+'Радко Димитриево'!K40+Салманово!K40+Средня!K40+Струйно!K40+'Царев Брод'!K40+Черенча!K40</f>
        <v>0</v>
      </c>
      <c r="L40" s="77">
        <f>Белокопитово!L37+Благово!L38+'Васил Друмев'!L38+Велино!L40+Ветрище!L40+Вехтово!L40+Градище!L40+Дибич!L40+Дивдядово!L40+Друмево!L40+Ивански!L40+'Илия Блъсково'!L40+Кладенец!L40+Коньовец!L40+'Костена река'!L40+Лозево!L40+Мадара!L40+Мараш!L40+'Мътница '!L40+Макак!L40+Новосел!L40+Овчарово!L40+'Панайот Волов'!L40+'Радко Димитриево'!L40+Салманово!L40+Средня!L40+Струйно!L40+'Царев Брод'!L40+Черенча!L40</f>
        <v>43670.81999999999</v>
      </c>
      <c r="M40" s="33">
        <f>Белокопитово!M37+Благово!M38+'Васил Друмев'!M38+Велино!M40+Ветрище!M40+Вехтово!M40+Градище!M40+Дибич!M40+Дивдядово!M40+Друмево!M40+Ивански!M40+'Илия Блъсково'!M40+Кладенец!M40+Коньовец!M40+'Костена река'!M40+Лозево!M40+Мадара!M40+Мараш!M40+'Мътница '!M40+Макак!M40+Новосел!M40+Овчарово!M40+'Панайот Волов'!M40+'Радко Димитриево'!M40+Салманово!M40+Средня!M40+Струйно!M40+'Царев Брод'!M40+Черенча!M40</f>
        <v>454377</v>
      </c>
      <c r="N40" s="77">
        <f>Белокопитово!N37+Благово!N38+'Васил Друмев'!N38+Велино!N40+Ветрище!N40+Вехтово!N40+Градище!N40+Дибич!N40+Дивдядово!N40+Друмево!N40+Ивански!N40+'Илия Блъсково'!N40+Кладенец!N40+Коньовец!N40+'Костена река'!N40+Лозево!N40+Мадара!N40+Мараш!N40+'Мътница '!N40+Макак!N40+Новосел!N40+Овчарово!N40+'Панайот Волов'!N40+'Радко Димитриево'!N40+Салманово!N40+Средня!N40+Струйно!N40+'Царев Брод'!N40+Черенча!N40</f>
        <v>559536.2999999999</v>
      </c>
      <c r="O40" s="30">
        <f>Белокопитово!O37+Благово!O38+'Васил Друмев'!O38+Велино!O40+Ветрище!O40+Вехтово!O40+Градище!O40+Дибич!O40+Дивдядово!O40+Друмево!O40+Ивански!O40+'Илия Блъсково'!O40+Кладенец!O40+Коньовец!O40+'Костена река'!O40+Лозево!O40+Мадара!O40+Мараш!O40+'Мътница '!O40+Макак!O40+Новосел!O40+Овчарово!O40+'Панайот Волов'!O40+'Радко Димитриево'!O40+Салманово!O40+Средня!O40+Струйно!O40+'Царев Брод'!O40+Черенча!O40</f>
        <v>469457</v>
      </c>
      <c r="P40" s="85">
        <f>Белокопитово!P37+Благово!P38+'Васил Друмев'!P38+Велино!P40+Ветрище!P40+Вехтово!P40+Градище!P40+Дибич!P40+Дивдядово!P40+Друмево!P40+Ивански!P40+'Илия Блъсково'!P40+Кладенец!P40+Коньовец!P40+'Костена река'!P40+Лозево!P40+Мадара!P40+Мараш!P40+'Мътница '!P40+Макак!P40+Новосел!P40+Овчарово!P40+'Панайот Волов'!P40+'Радко Димитриево'!P40+Салманово!P40+Средня!P40+Струйно!P40+'Царев Брод'!P40+Черенча!P40</f>
        <v>725980.5599999999</v>
      </c>
      <c r="R40" s="123">
        <f>P40-'РАЗХОДИ ПО КМЕТСТВА'!V35-'РАЗХОДИ ПО КМЕТСТВА'!Y35-'РАЗХОДИ ПО КМЕТСТВА'!Q35-'РАЗХОДИ ПО КМЕТСТВА'!H35-'РАЗХОДИ ПО КМЕТСТВА'!I35-'РАЗХОДИ ПО КМЕТСТВА'!J35-'РАЗХОДИ ПО КМЕТСТВА'!L35-'РАЗХОДИ ПО КМЕТСТВА'!X35-'РАЗХОДИ ПО КМЕТСТВА'!AD35-'РАЗХОДИ ПО КМЕТСТВА'!K35</f>
        <v>-1.1095835361629725E-10</v>
      </c>
      <c r="S40" s="92"/>
      <c r="T40" s="92"/>
      <c r="U40" s="92"/>
    </row>
    <row r="41" spans="1:18" ht="15">
      <c r="A41" s="29" t="s">
        <v>31</v>
      </c>
      <c r="B41" s="26" t="s">
        <v>13</v>
      </c>
      <c r="C41" s="33">
        <f>Белокопитово!C38+Благово!C39+'Васил Друмев'!C39+Велино!C41+Ветрище!C41+Вехтово!C41+Градище!C41+Дибич!C41+Дивдядово!C41+Друмево!C41+Ивански!C41+'Илия Блъсково'!C41+Кладенец!C41+Коньовец!C41+'Костена река'!C41+Лозево!C41+Мадара!C41+Мараш!C41+'Мътница '!C41+Макак!C41+Новосел!C41+Овчарово!C41+'Панайот Волов'!C41+'Радко Димитриево'!C41+Салманово!C41+Средня!C41+Струйно!C41+'Царев Брод'!C41+Черенча!C41</f>
        <v>0</v>
      </c>
      <c r="D41" s="77">
        <f>Белокопитово!D38+Благово!D39+'Васил Друмев'!D39+Велино!D41+Ветрище!D41+Вехтово!D41+Градище!D41+Дибич!D41+Дивдядово!D41+Друмево!D41+Ивански!D41+'Илия Блъсково'!D41+Кладенец!D41+Коньовец!D41+'Костена река'!D41+Лозево!D41+Мадара!D41+Мараш!D41+'Мътница '!D41+Макак!D41+Новосел!D41+Овчарово!D41+'Панайот Волов'!D41+'Радко Димитриево'!D41+Салманово!D41+Средня!D41+Струйно!D41+'Царев Брод'!D41+Черенча!D41</f>
        <v>0</v>
      </c>
      <c r="E41" s="33">
        <f>Белокопитово!E38+Благово!E39+'Васил Друмев'!E39+Велино!E41+Ветрище!E41+Вехтово!E41+Градище!E41+Дибич!E41+Дивдядово!E41+Друмево!E41+Ивански!E41+'Илия Блъсково'!E41+Кладенец!E41+Коньовец!E41+'Костена река'!E41+Лозево!E41+Мадара!E41+Мараш!E41+'Мътница '!E41+Макак!E41+Новосел!E41+Овчарово!E41+'Панайот Волов'!E41+'Радко Димитриево'!E41+Салманово!E41+Средня!E41+Струйно!E41+'Царев Брод'!E41+Черенча!E41</f>
        <v>120078</v>
      </c>
      <c r="F41" s="77">
        <f>Белокопитово!F38+Благово!F39+'Васил Друмев'!F39+Велино!F41+Ветрище!F41+Вехтово!F41+Градище!F41+Дибич!F41+Дивдядово!F41+Друмево!F41+Ивански!F41+'Илия Блъсково'!F41+Кладенец!F41+Коньовец!F41+'Костена река'!F41+Лозево!F41+Мадара!F41+Мараш!F41+'Мътница '!F41+Макак!F41+Новосел!F41+Овчарово!F41+'Панайот Волов'!F41+'Радко Димитриево'!F41+Салманово!F41+Средня!F41+Струйно!F41+'Царев Брод'!F41+Черенча!F41</f>
        <v>23067.92</v>
      </c>
      <c r="G41" s="77">
        <f>Белокопитово!G38+Благово!G39+'Васил Друмев'!G39+Велино!G41+Ветрище!G41+Вехтово!G41+Градище!G41+Дибич!G41+Дивдядово!G41+Друмево!G41+Ивански!G41+'Илия Блъсково'!G41+Кладенец!G41+Коньовец!G41+'Костена река'!G41+Лозево!G41+Мадара!G41+Мараш!G41+'Мътница '!G41+Макак!G41+Новосел!G41+Овчарово!G41+'Панайот Волов'!G41+'Радко Димитриево'!G41+Салманово!G41+Средня!G41+Струйно!G41+'Царев Брод'!G41+Черенча!G41</f>
        <v>0</v>
      </c>
      <c r="H41" s="77">
        <f>Белокопитово!H38+Благово!H39+'Васил Друмев'!H39+Велино!H41+Ветрище!H41+Вехтово!H41+Градище!H41+Дибич!H41+Дивдядово!H41+Друмево!H41+Ивански!H41+'Илия Блъсково'!H41+Кладенец!H41+Коньовец!H41+'Костена река'!H41+Лозево!H41+Мадара!H41+Мараш!H41+'Мътница '!H41+Макак!H41+Новосел!H41+Овчарово!H41+'Панайот Волов'!H41+'Радко Димитриево'!H41+Салманово!H41+Средня!H41+Струйно!H41+'Царев Брод'!H41+Черенча!H41</f>
        <v>0</v>
      </c>
      <c r="I41" s="77"/>
      <c r="J41" s="77"/>
      <c r="K41" s="33">
        <f>Белокопитово!K38+Благово!K39+'Васил Друмев'!K39+Велино!K41+Ветрище!K41+Вехтово!K41+Градище!K41+Дибич!K41+Дивдядово!K41+Друмево!K41+Ивански!K41+'Илия Блъсково'!K41+Кладенец!K41+Коньовец!K41+'Костена река'!K41+Лозево!K41+Мадара!K41+Мараш!K41+'Мътница '!K41+Макак!K41+Новосел!K41+Овчарово!K41+'Панайот Волов'!K41+'Радко Димитриево'!K41+Салманово!K41+Средня!K41+Струйно!K41+'Царев Брод'!K41+Черенча!K41</f>
        <v>0</v>
      </c>
      <c r="L41" s="77">
        <f>Белокопитово!L38+Благово!L39+'Васил Друмев'!L39+Велино!L41+Ветрище!L41+Вехтово!L41+Градище!L41+Дибич!L41+Дивдядово!L41+Друмево!L41+Ивански!L41+'Илия Блъсково'!L41+Кладенец!L41+Коньовец!L41+'Костена река'!L41+Лозево!L41+Мадара!L41+Мараш!L41+'Мътница '!L41+Макак!L41+Новосел!L41+Овчарово!L41+'Панайот Волов'!L41+'Радко Димитриево'!L41+Салманово!L41+Средня!L41+Струйно!L41+'Царев Брод'!L41+Черенча!L41</f>
        <v>0</v>
      </c>
      <c r="M41" s="33">
        <f>Белокопитово!K38+Благово!M39+'Васил Друмев'!M39+Велино!M41+Ветрище!M41+Вехтово!M41+Градище!M41+Дибич!M41+Дивдядово!M41+Друмево!M41+Ивански!M41+'Илия Блъсково'!M41+Кладенец!M41+Коньовец!M41+'Костена река'!M41+Лозево!M41+Мадара!M41+Мараш!M41+'Мътница '!M41+Макак!M41+Новосел!M41+Овчарово!M41+'Панайот Волов'!M41+'Радко Димитриево'!M41+Салманово!M41+Средня!M41+Струйно!M41+'Царев Брод'!M41+Черенча!M41</f>
        <v>0</v>
      </c>
      <c r="N41" s="77">
        <f>Белокопитово!N38+Благово!N39+'Васил Друмев'!N39+Велино!N41+Ветрище!N41+Вехтово!N41+Градище!N41+Дибич!N41+Дивдядово!N41+Друмево!N41+Ивански!N41+'Илия Блъсково'!N41+Кладенец!N41+Коньовец!N41+'Костена река'!N41+Лозево!N41+Мадара!N41+Мараш!N41+'Мътница '!N41+Макак!N41+Новосел!N41+Овчарово!N41+'Панайот Волов'!N41+'Радко Димитриево'!N41+Салманово!N41+Средня!N41+Струйно!N41+'Царев Брод'!N41+Черенча!N41</f>
        <v>0</v>
      </c>
      <c r="O41" s="30">
        <f>Белокопитово!O38+Благово!O39+'Васил Друмев'!O39+Велино!O41+Ветрище!O41+Вехтово!O41+Градище!O41+Дибич!O41+Дивдядово!O41+Друмево!O41+Ивански!O41+'Илия Блъсково'!O41+Кладенец!O41+Коньовец!O41+'Костена река'!O41+Лозево!O41+Мадара!O41+Мараш!O41+'Мътница '!O41+Макак!O41+Новосел!O41+Овчарово!O41+'Панайот Волов'!O41+'Радко Димитриево'!O41+Салманово!O41+Средня!O41+Струйно!O41+'Царев Брод'!O41+Черенча!O41</f>
        <v>120078</v>
      </c>
      <c r="P41" s="85">
        <f>Белокопитово!P38+Благово!P39+'Васил Друмев'!P39+Велино!P41+Ветрище!P41+Вехтово!P41+Градище!P41+Дибич!P41+Дивдядово!P41+Друмево!P41+Ивански!P41+'Илия Блъсково'!P41+Кладенец!P41+Коньовец!P41+'Костена река'!P41+Лозево!P41+Мадара!P41+Мараш!P41+'Мътница '!P41+Макак!P41+Новосел!P41+Овчарово!P41+'Панайот Волов'!P41+'Радко Димитриево'!P41+Салманово!P41+Средня!P41+Струйно!P41+'Царев Брод'!P41+Черенча!P41</f>
        <v>23067.92</v>
      </c>
      <c r="R41" s="123">
        <f>P41-'РАЗХОДИ ПО КМЕТСТВА'!AA35</f>
        <v>0</v>
      </c>
    </row>
    <row r="42" spans="1:18" ht="15">
      <c r="A42" s="29" t="s">
        <v>33</v>
      </c>
      <c r="B42" s="26" t="s">
        <v>15</v>
      </c>
      <c r="C42" s="33">
        <f>Белокопитово!C39+Благово!C40+'Васил Друмев'!C40+Велино!C42+Ветрище!C42+Вехтово!C42+Градище!C42+Дибич!C42+Дивдядово!C42+Друмево!C42+Ивански!C42+'Илия Блъсково'!C42+Кладенец!C42+Коньовец!C42+'Костена река'!C42+Лозево!C42+Мадара!C42+Мараш!C42+'Мътница '!C42+Макак!C42+Новосел!C42+Овчарово!C42+'Панайот Волов'!C42+'Радко Димитриево'!C42+Салманово!C42+Средня!C42+Струйно!C42+'Царев Брод'!C42+Черенча!C42</f>
        <v>0</v>
      </c>
      <c r="D42" s="77">
        <f>Белокопитово!D39+Благово!D40+'Васил Друмев'!D40+Велино!D42+Ветрище!D42+Вехтово!D42+Градище!D42+Дибич!D42+Дивдядово!D42+Друмево!D42+Ивански!D42+'Илия Блъсково'!D42+Кладенец!D42+Коньовец!D42+'Костена река'!D42+Лозево!D42+Мадара!D42+Мараш!D42+'Мътница '!D42+Макак!D42+Новосел!D42+Овчарово!D42+'Панайот Волов'!D42+'Радко Димитриево'!D42+Салманово!D42+Средня!D42+Струйно!D42+'Царев Брод'!D42+Черенча!D42</f>
        <v>0</v>
      </c>
      <c r="E42" s="33">
        <f>Белокопитово!E39+Благово!E40+'Васил Друмев'!E40+Велино!E42+Ветрище!E42+Вехтово!E42+Градище!E42+Дибич!E42+Дивдядово!E42+Друмево!E42+Ивански!E42+'Илия Блъсково'!E42+Кладенец!E42+Коньовец!E42+'Костена река'!E42+Лозево!E42+Мадара!E42+Мараш!E42+'Мътница '!E42+Макак!E42+Новосел!E42+Овчарово!E42+'Панайот Волов'!E42+'Радко Димитриево'!E42+Салманово!E42+Средня!E42+Струйно!E42+'Царев Брод'!E42+Черенча!E42</f>
        <v>11111</v>
      </c>
      <c r="F42" s="77">
        <f>Белокопитово!F39+Благово!F40+'Васил Друмев'!F40+Велино!F42+Ветрище!F42+Вехтово!F42+Градище!F42+Дибич!F42+Дивдядово!F42+Друмево!F42+Ивански!F42+'Илия Блъсково'!F42+Кладенец!F42+Коньовец!F42+'Костена река'!F42+Лозево!F42+Мадара!F42+Мараш!F42+'Мътница '!F42+Макак!F42+Новосел!F42+Овчарово!F42+'Панайот Волов'!F42+'Радко Димитриево'!F42+Салманово!F42+Средня!F42+Струйно!F42+'Царев Брод'!F42+Черенча!F42</f>
        <v>8783.28</v>
      </c>
      <c r="G42" s="77">
        <f>Белокопитово!G39+Благово!G40+'Васил Друмев'!G40+Велино!G42+Ветрище!G42+Вехтово!G42+Градище!G42+Дибич!G42+Дивдядово!G42+Друмево!G42+Ивански!G42+'Илия Блъсково'!G42+Кладенец!G42+Коньовец!G42+'Костена река'!G42+Лозево!G42+Мадара!G42+Мараш!G42+'Мътница '!G42+Макак!G42+Новосел!G42+Овчарово!G42+'Панайот Волов'!G42+'Радко Димитриево'!G42+Салманово!G42+Средня!G42+Струйно!G42+'Царев Брод'!G42+Черенча!G42</f>
        <v>0</v>
      </c>
      <c r="H42" s="77">
        <f>Белокопитово!H39+Благово!H40+'Васил Друмев'!H40+Велино!H42+Ветрище!H42+Вехтово!H42+Градище!H42+Дибич!H42+Дивдядово!H42+Друмево!H42+Ивански!H42+'Илия Блъсково'!H42+Кладенец!H42+Коньовец!H42+'Костена река'!H42+Лозево!H42+Мадара!H42+Мараш!H42+'Мътница '!H42+Макак!H42+Новосел!H42+Овчарово!H42+'Панайот Волов'!H42+'Радко Димитриево'!H42+Салманово!H42+Средня!H42+Струйно!H42+'Царев Брод'!H42+Черенча!H42</f>
        <v>0</v>
      </c>
      <c r="I42" s="77"/>
      <c r="J42" s="77"/>
      <c r="K42" s="33">
        <f>Белокопитово!K39+Благово!K40+'Васил Друмев'!K40+Велино!K42+Ветрище!K42+Вехтово!K42+Градище!K42+Дибич!K42+Дивдядово!K42+Друмево!K42+Ивански!K42+'Илия Блъсково'!K42+Кладенец!K42+Коньовец!K42+'Костена река'!K42+Лозево!K42+Мадара!K42+Мараш!K42+'Мътница '!K42+Макак!K42+Новосел!K42+Овчарово!K42+'Панайот Волов'!K42+'Радко Димитриево'!K42+Салманово!K42+Средня!K42+Струйно!K42+'Царев Брод'!K42+Черенча!K42</f>
        <v>0</v>
      </c>
      <c r="L42" s="77">
        <f>Белокопитово!L39+Благово!L40+'Васил Друмев'!L40+Велино!L42+Ветрище!L42+Вехтово!L42+Градище!L42+Дибич!L42+Дивдядово!L42+Друмево!L42+Ивански!L42+'Илия Блъсково'!L42+Кладенец!L42+Коньовец!L42+'Костена река'!L42+Лозево!L42+Мадара!L42+Мараш!L42+'Мътница '!L42+Макак!L42+Новосел!L42+Овчарово!L42+'Панайот Волов'!L42+'Радко Димитриево'!L42+Салманово!L42+Средня!L42+Струйно!L42+'Царев Брод'!L42+Черенча!L42</f>
        <v>0</v>
      </c>
      <c r="M42" s="33">
        <f>Белокопитово!K39+Благово!M40+'Васил Друмев'!M40+Велино!M42+Ветрище!M42+Вехтово!M42+Градище!M42+Дибич!M42+Дивдядово!M42+Друмево!M42+Ивански!M42+'Илия Блъсково'!M42+Кладенец!M42+Коньовец!M42+'Костена река'!M42+Лозево!M42+Мадара!M42+Мараш!M42+'Мътница '!M42+Макак!M42+Новосел!M42+Овчарово!M42+'Панайот Волов'!M42+'Радко Димитриево'!M42+Салманово!M42+Средня!M42+Струйно!M42+'Царев Брод'!M42+Черенча!M42</f>
        <v>0</v>
      </c>
      <c r="N42" s="77">
        <f>Белокопитово!N39+Благово!N40+'Васил Друмев'!N40+Велино!N42+Ветрище!N42+Вехтово!N42+Градище!N42+Дибич!N42+Дивдядово!N42+Друмево!N42+Ивански!N42+'Илия Блъсково'!N42+Кладенец!N42+Коньовец!N42+'Костена река'!N42+Лозево!N42+Мадара!N42+Мараш!N42+'Мътница '!N42+Макак!N42+Новосел!N42+Овчарово!N42+'Панайот Волов'!N42+'Радко Димитриево'!N42+Салманово!N42+Средня!N42+Струйно!N42+'Царев Брод'!N42+Черенча!N42</f>
        <v>0</v>
      </c>
      <c r="O42" s="30">
        <f>Белокопитово!O39+Благово!O40+'Васил Друмев'!O40+Велино!O42+Ветрище!O42+Вехтово!O42+Градище!O42+Дибич!O42+Дивдядово!O42+Друмево!O42+Ивански!O42+'Илия Блъсково'!O42+Кладенец!O42+Коньовец!O42+'Костена река'!O42+Лозево!O42+Мадара!O42+Мараш!O42+'Мътница '!O42+Макак!O42+Новосел!O42+Овчарово!O42+'Панайот Волов'!O42+'Радко Димитриево'!O42+Салманово!O42+Средня!O42+Струйно!O42+'Царев Брод'!O42+Черенча!O42</f>
        <v>11111</v>
      </c>
      <c r="P42" s="85">
        <f>Белокопитово!P39+Благово!P40+'Васил Друмев'!P40+Велино!P42+Ветрище!P42+Вехтово!P42+Градище!P42+Дибич!P42+Дивдядово!P42+Друмево!P42+Ивански!P42+'Илия Блъсково'!P42+Кладенец!P42+Коньовец!P42+'Костена река'!P42+Лозево!P42+Мадара!P42+Мараш!P42+'Мътница '!P42+Макак!P42+Новосел!P42+Овчарово!P42+'Панайот Волов'!P42+'Радко Димитриево'!P42+Салманово!P42+Средня!P42+Струйно!P42+'Царев Брод'!P42+Черенча!P42</f>
        <v>8783.28</v>
      </c>
      <c r="R42" s="123">
        <f>'РАЗХОДИ ПО КМЕТСТВА'!M35-'ОБЩО КМЕТСТВА'!P42</f>
        <v>0</v>
      </c>
    </row>
    <row r="43" spans="1:18" ht="15">
      <c r="A43" s="29" t="s">
        <v>2</v>
      </c>
      <c r="B43" s="26"/>
      <c r="C43" s="33">
        <f>Белокопитово!C40+Благово!C41+'Васил Друмев'!C41+Велино!C43+Ветрище!C43+Вехтово!C43+Градище!C43+Дибич!C43+Дивдядово!C43+Друмево!C43+Ивански!C43+'Илия Блъсково'!C43+Кладенец!C43+Коньовец!C43+'Костена река'!C43+Лозево!C43+Мадара!C43+Мараш!C43+'Мътница '!C43+Макак!C43+Новосел!C43+Овчарово!C43+'Панайот Волов'!C43+'Радко Димитриево'!C43+Салманово!C43+Средня!C43+Струйно!C43+'Царев Брод'!C43+Черенча!C43</f>
        <v>0</v>
      </c>
      <c r="D43" s="77">
        <f>Белокопитово!D40+Благово!D41+'Васил Друмев'!D41+Велино!D43+Ветрище!D43+Вехтово!D43+Градище!D43+Дибич!D43+Дивдядово!D43+Друмево!D43+Ивански!D43+'Илия Блъсково'!D43+Кладенец!D43+Коньовец!D43+'Костена река'!D43+Лозево!D43+Мадара!D43+Мараш!D43+'Мътница '!D43+Макак!D43+Новосел!D43+Овчарово!D43+'Панайот Волов'!D43+'Радко Димитриево'!D43+Салманово!D43+Средня!D43+Струйно!D43+'Царев Брод'!D43+Черенча!D43</f>
        <v>0</v>
      </c>
      <c r="E43" s="33">
        <f>Белокопитово!E40+Благово!E41+'Васил Друмев'!E41+Велино!E43+Ветрище!E43+Вехтово!E43+Градище!E43+Дибич!E43+Дивдядово!E43+Друмево!E43+Ивански!E43+'Илия Блъсково'!E43+Кладенец!E43+Коньовец!E43+'Костена река'!E43+Лозево!E43+Мадара!E43+Мараш!E43+'Мътница '!E43+Макак!E43+Новосел!E43+Овчарово!E43+'Панайот Волов'!E43+'Радко Димитриево'!E43+Салманово!E43+Средня!E43+Струйно!E43+'Царев Брод'!E43+Черенча!E43</f>
        <v>0</v>
      </c>
      <c r="F43" s="77">
        <f>Белокопитово!F40+Благово!F41+'Васил Друмев'!F41+Велино!F43+Ветрище!F43+Вехтово!F43+Градище!F43+Дибич!F43+Дивдядово!F43+Друмево!F43+Ивански!F43+'Илия Блъсково'!F43+Кладенец!F43+Коньовец!F43+'Костена река'!F43+Лозево!F43+Мадара!F43+Мараш!F43+'Мътница '!F43+Макак!F43+Новосел!F43+Овчарово!F43+'Панайот Волов'!F43+'Радко Димитриево'!F43+Салманово!F43+Средня!F43+Струйно!F43+'Царев Брод'!F43+Черенча!F43</f>
        <v>0</v>
      </c>
      <c r="G43" s="77">
        <f>Белокопитово!G40+Благово!G41+'Васил Друмев'!G41+Велино!G43+Ветрище!G43+Вехтово!G43+Градище!G43+Дибич!G43+Дивдядово!G43+Друмево!G43+Ивански!G43+'Илия Блъсково'!G43+Кладенец!G43+Коньовец!G43+'Костена река'!G43+Лозево!G43+Мадара!G43+Мараш!G43+'Мътница '!G43+Макак!G43+Новосел!G43+Овчарово!G43+'Панайот Волов'!G43+'Радко Димитриево'!G43+Салманово!G43+Средня!G43+Струйно!G43+'Царев Брод'!G43+Черенча!G43</f>
        <v>0</v>
      </c>
      <c r="H43" s="77">
        <f>Белокопитово!H40+Благово!H41+'Васил Друмев'!H41+Велино!H43+Ветрище!H43+Вехтово!H43+Градище!H43+Дибич!H43+Дивдядово!H43+Друмево!H43+Ивански!H43+'Илия Блъсково'!H43+Кладенец!H43+Коньовец!H43+'Костена река'!H43+Лозево!H43+Мадара!H43+Мараш!H43+'Мътница '!H43+Макак!H43+Новосел!H43+Овчарово!H43+'Панайот Волов'!H43+'Радко Димитриево'!H43+Салманово!H43+Средня!H43+Струйно!H43+'Царев Брод'!H43+Черенча!H43</f>
        <v>0</v>
      </c>
      <c r="I43" s="77"/>
      <c r="J43" s="77"/>
      <c r="K43" s="33">
        <f>Белокопитово!K40+Благово!K41+'Васил Друмев'!K41+Велино!K43+Ветрище!K43+Вехтово!K43+Градище!K43+Дибич!K43+Дивдядово!K43+Друмево!K43+Ивански!K43+'Илия Блъсково'!K43+Кладенец!K43+Коньовец!K43+'Костена река'!K43+Лозево!K43+Мадара!K43+Мараш!K43+'Мътница '!K43+Макак!K43+Новосел!K43+Овчарово!K43+'Панайот Волов'!K43+'Радко Димитриево'!K43+Салманово!K43+Средня!K43+Струйно!K43+'Царев Брод'!K43+Черенча!K43</f>
        <v>0</v>
      </c>
      <c r="L43" s="77">
        <f>Белокопитово!L40+Благово!L41+'Васил Друмев'!L41+Велино!L43+Ветрище!L43+Вехтово!L43+Градище!L43+Дибич!L43+Дивдядово!L43+Друмево!L43+Ивански!L43+'Илия Блъсково'!L43+Кладенец!L43+Коньовец!L43+'Костена река'!L43+Лозево!L43+Мадара!L43+Мараш!L43+'Мътница '!L43+Макак!L43+Новосел!L43+Овчарово!L43+'Панайот Волов'!L43+'Радко Димитриево'!L43+Салманово!L43+Средня!L43+Струйно!L43+'Царев Брод'!L43+Черенча!L43</f>
        <v>0</v>
      </c>
      <c r="M43" s="33">
        <f>Белокопитово!K40+Благово!M41+'Васил Друмев'!M41+Велино!M43+Ветрище!M43+Вехтово!M43+Градище!M43+Дибич!M43+Дивдядово!M43+Друмево!M43+Ивански!M43+'Илия Блъсково'!M43+Кладенец!M43+Коньовец!M43+'Костена река'!M43+Лозево!M43+Мадара!M43+Мараш!M43+'Мътница '!M43+Макак!M43+Новосел!M43+Овчарово!M43+'Панайот Волов'!M43+'Радко Димитриево'!M43+Салманово!M43+Средня!M43+Струйно!M43+'Царев Брод'!M43+Черенча!M43</f>
        <v>0</v>
      </c>
      <c r="N43" s="77">
        <f>Белокопитово!N40+Благово!N41+'Васил Друмев'!N41+Велино!N43+Ветрище!N43+Вехтово!N43+Градище!N43+Дибич!N43+Дивдядово!N43+Друмево!N43+Ивански!N43+'Илия Блъсково'!N43+Кладенец!N43+Коньовец!N43+'Костена река'!N43+Лозево!N43+Мадара!N43+Мараш!N43+'Мътница '!N43+Макак!N43+Новосел!N43+Овчарово!N43+'Панайот Волов'!N43+'Радко Димитриево'!N43+Салманово!N43+Средня!N43+Струйно!N43+'Царев Брод'!N43+Черенча!N43</f>
        <v>0</v>
      </c>
      <c r="O43" s="30">
        <f>Белокопитово!O40+Благово!O41+'Васил Друмев'!O41+Велино!O43+Ветрище!O43+Вехтово!O43+Градище!O43+Дибич!O43+Дивдядово!O43+Друмево!O43+Ивански!O43+'Илия Блъсково'!O43+Кладенец!O43+Коньовец!O43+'Костена река'!O43+Лозево!O43+Мадара!O43+Мараш!O43+'Мътница '!O43+Макак!O43+Новосел!O43+Овчарово!O43+'Панайот Волов'!O43+'Радко Димитриево'!O43+Салманово!O43+Средня!O43+Струйно!O43+'Царев Брод'!O43+Черенча!O43</f>
        <v>0</v>
      </c>
      <c r="P43" s="85">
        <f>Белокопитово!P40+Благово!P41+'Васил Друмев'!P41+Велино!P43+Ветрище!P43+Вехтово!P43+Градище!P43+Дибич!P43+Дивдядово!P43+Друмево!P43+Ивански!P43+'Илия Блъсково'!P43+Кладенец!P43+Коньовец!P43+'Костена река'!P43+Лозево!P43+Мадара!P43+Мараш!P43+'Мътница '!P43+Макак!P43+Новосел!P43+Овчарово!P43+'Панайот Волов'!P43+'Радко Димитриево'!P43+Салманово!P43+Средня!P43+Струйно!P43+'Царев Брод'!P43+Черенча!P43</f>
        <v>0</v>
      </c>
      <c r="R43" s="124"/>
    </row>
    <row r="44" spans="1:18" ht="15">
      <c r="A44" s="29" t="s">
        <v>3</v>
      </c>
      <c r="B44" s="26" t="s">
        <v>14</v>
      </c>
      <c r="C44" s="70">
        <f>Белокопитово!C41+Благово!C42+'Васил Друмев'!C42+Велино!C44+Ветрище!C44+Вехтово!C44+Градище!C44+Дибич!C44+Дивдядово!C44+Друмево!C44+Ивански!C44+'Илия Блъсково'!C44+Кладенец!C44+Коньовец!C44+'Костена река'!C44+Лозево!C44+Мадара!C44+Мараш!C44+'Мътница '!C44+Макак!C44+Новосел!C44+Овчарово!C44+'Панайот Волов'!C44+'Радко Димитриево'!C44+Салманово!C44+Средня!C44+Струйно!C44+'Царев Брод'!C44+Черенча!C44</f>
        <v>0</v>
      </c>
      <c r="D44" s="77">
        <f>Белокопитово!D41+Благово!D42+'Васил Друмев'!D42+Велино!D44+Ветрище!D44+Вехтово!D44+Градище!D44+Дибич!D44+Дивдядово!D44+Друмево!D44+Ивански!D44+'Илия Блъсково'!D44+Кладенец!D44+Коньовец!D44+'Костена река'!D44+Лозево!D44+Мадара!D44+Мараш!D44+'Мътница '!D44+Макак!D44+Новосел!D44+Овчарово!D44+'Панайот Волов'!D44+'Радко Димитриево'!D44+Салманово!D44+Средня!D44+Струйно!D44+'Царев Брод'!D44+Черенча!D44</f>
        <v>0</v>
      </c>
      <c r="E44" s="30">
        <f>Белокопитово!E41+Благово!E42+'Васил Друмев'!E42+Велино!E44+Ветрище!E44+Вехтово!E44+Градище!E44+Дибич!E44+Дивдядово!E44+Друмево!E44+Ивански!E44+'Илия Блъсково'!E44+Кладенец!E44+Коньовец!E44+'Костена река'!E44+Лозево!E44+Мадара!E44+Мараш!E44+'Мътница '!E44+Макак!E44+Новосел!E44+Овчарово!E44+'Панайот Волов'!E44+'Радко Димитриево'!E44+Салманово!E44+Средня!E44+Струйно!E44+'Царев Брод'!E44+Черенча!E44</f>
        <v>0</v>
      </c>
      <c r="F44" s="77">
        <f>Белокопитово!F41+Благово!F42+'Васил Друмев'!F42+Велино!F44+Ветрище!F44+Вехтово!F44+Градище!F44+Дибич!F44+Дивдядово!F44+Друмево!F44+Ивански!F44+'Илия Блъсково'!F44+Кладенец!F44+Коньовец!F44+'Костена река'!F44+Лозево!F44+Мадара!F44+Мараш!F44+'Мътница '!F44+Макак!F44+Новосел!F44+Овчарово!F44+'Панайот Волов'!F44+'Радко Димитриево'!F44+Салманово!F44+Средня!F44+Струйно!F44+'Царев Брод'!F44+Черенча!F44</f>
        <v>0</v>
      </c>
      <c r="G44" s="77">
        <f>Белокопитово!G41+Благово!G42+'Васил Друмев'!G42+Велино!G44+Ветрище!G44+Вехтово!G44+Градище!G44+Дибич!G44+Дивдядово!G44+Друмево!G44+Ивански!G44+'Илия Блъсково'!G44+Кладенец!G44+Коньовец!G44+'Костена река'!G44+Лозево!G44+Мадара!G44+Мараш!G44+'Мътница '!G44+Макак!G44+Новосел!G44+Овчарово!G44+'Панайот Волов'!G44+'Радко Димитриево'!G44+Салманово!G44+Средня!G44+Струйно!G44+'Царев Брод'!G44+Черенча!G44</f>
        <v>0</v>
      </c>
      <c r="H44" s="77">
        <f>Белокопитово!H41+Благово!H42+'Васил Друмев'!H42+Велино!H44+Ветрище!H44+Вехтово!H44+Градище!H44+Дибич!H44+Дивдядово!H44+Друмево!H44+Ивански!H44+'Илия Блъсково'!H44+Кладенец!H44+Коньовец!H44+'Костена река'!H44+Лозево!H44+Мадара!H44+Мараш!H44+'Мътница '!H44+Макак!H44+Новосел!H44+Овчарово!H44+'Панайот Волов'!H44+'Радко Димитриево'!H44+Салманово!H44+Средня!H44+Струйно!H44+'Царев Брод'!H44+Черенча!H44</f>
        <v>0</v>
      </c>
      <c r="I44" s="77"/>
      <c r="J44" s="77"/>
      <c r="K44" s="30">
        <f>Белокопитово!K41+Благово!K42+'Васил Друмев'!K42+Велино!K44+Ветрище!K44+Вехтово!K44+Градище!K44+Дибич!K44+Дивдядово!K44+Друмево!K44+Ивански!K44+'Илия Блъсково'!K44+Кладенец!K44+Коньовец!K44+'Костена река'!K44+Лозево!K44+Мадара!K44+Мараш!K44+'Мътница '!K44+Макак!K44+Новосел!K44+Овчарово!K44+'Панайот Волов'!K44+'Радко Димитриево'!K44+Салманово!K44+Средня!K44+Струйно!K44+'Царев Брод'!K44+Черенча!K44</f>
        <v>0</v>
      </c>
      <c r="L44" s="77">
        <f>Белокопитово!L41+Благово!L42+'Васил Друмев'!L42+Велино!L44+Ветрище!L44+Вехтово!L44+Градище!L44+Дибич!L44+Дивдядово!L44+Друмево!L44+Ивански!L44+'Илия Блъсково'!L44+Кладенец!L44+Коньовец!L44+'Костена река'!L44+Лозево!L44+Мадара!L44+Мараш!L44+'Мътница '!L44+Макак!L44+Новосел!L44+Овчарово!L44+'Панайот Волов'!L44+'Радко Димитриево'!L44+Салманово!L44+Средня!L44+Струйно!L44+'Царев Брод'!L44+Черенча!L44</f>
        <v>0</v>
      </c>
      <c r="M44" s="30">
        <f>Белокопитово!K41+Благово!M42+'Васил Друмев'!M42+Велино!M44+Ветрище!M44+Вехтово!M44+Градище!M44+Дибич!M44+Дивдядово!M44+Друмево!M44+Ивански!M44+'Илия Блъсково'!M44+Кладенец!M44+Коньовец!M44+'Костена река'!M44+Лозево!M44+Мадара!M44+Мараш!M44+'Мътница '!M44+Макак!M44+Новосел!M44+Овчарово!M44+'Панайот Волов'!M44+'Радко Димитриево'!M44+Салманово!M44+Средня!M44+Струйно!M44+'Царев Брод'!M44+Черенча!M44</f>
        <v>0</v>
      </c>
      <c r="N44" s="77">
        <f>Белокопитово!N41+Благово!N42+'Васил Друмев'!N42+Велино!N44+Ветрище!N44+Вехтово!N44+Градище!N44+Дибич!N44+Дивдядово!N44+Друмево!N44+Ивански!N44+'Илия Блъсково'!N44+Кладенец!N44+Коньовец!N44+'Костена река'!N44+Лозево!N44+Мадара!N44+Мараш!N44+'Мътница '!N44+Макак!N44+Новосел!N44+Овчарово!N44+'Панайот Волов'!N44+'Радко Димитриево'!N44+Салманово!N44+Средня!N44+Струйно!N44+'Царев Брод'!N44+Черенча!N44</f>
        <v>0</v>
      </c>
      <c r="O44" s="30">
        <f>Белокопитово!O41+Благово!O42+'Васил Друмев'!O42+Велино!O44+Ветрище!O44+Вехтово!O44+Градище!O44+Дибич!O44+Дивдядово!O44+Друмево!O44+Ивански!O44+'Илия Блъсково'!O44+Кладенец!O44+Коньовец!O44+'Костена река'!O44+Лозево!O44+Мадара!O44+Мараш!O44+'Мътница '!O44+Макак!O44+Новосел!O44+Овчарово!O44+'Панайот Волов'!O44+'Радко Димитриево'!O44+Салманово!O44+Средня!O44+Струйно!O44+'Царев Брод'!O44+Черенча!O44</f>
        <v>0</v>
      </c>
      <c r="P44" s="85">
        <f>Белокопитово!P41+Благово!P42+'Васил Друмев'!P42+Велино!P44+Ветрище!P44+Вехтово!P44+Градище!P44+Дибич!P44+Дивдядово!P44+Друмево!P44+Ивански!P44+'Илия Блъсково'!P44+Кладенец!P44+Коньовец!P44+'Костена река'!P44+Лозево!P44+Мадара!P44+Мараш!P44+'Мътница '!P44+Макак!P44+Новосел!P44+Овчарово!P44+'Панайот Волов'!P44+'Радко Димитриево'!P44+Салманово!P44+Средня!P44+Струйно!P44+'Царев Брод'!P44+Черенча!P44</f>
        <v>0</v>
      </c>
      <c r="R44" s="124"/>
    </row>
    <row r="45" spans="1:18" ht="15.75">
      <c r="A45" s="36" t="s">
        <v>59</v>
      </c>
      <c r="B45" s="25"/>
      <c r="C45" s="37">
        <f aca="true" t="shared" si="0" ref="C45:O45">SUM(C25:C44)</f>
        <v>460716.8378</v>
      </c>
      <c r="D45" s="37">
        <f>SUM(D25:D44)</f>
        <v>502531.458654</v>
      </c>
      <c r="E45" s="37">
        <f t="shared" si="0"/>
        <v>197995.188634</v>
      </c>
      <c r="F45" s="37">
        <f>SUM(F25:F44)</f>
        <v>123989.85</v>
      </c>
      <c r="G45" s="90">
        <f>SUM(G25:G44)</f>
        <v>130323</v>
      </c>
      <c r="H45" s="37">
        <f>SUM(H25:H44)</f>
        <v>120018.35000000003</v>
      </c>
      <c r="I45" s="37">
        <f t="shared" si="0"/>
        <v>0</v>
      </c>
      <c r="J45" s="37">
        <f t="shared" si="0"/>
        <v>103173.05999999998</v>
      </c>
      <c r="K45" s="37">
        <f t="shared" si="0"/>
        <v>11600</v>
      </c>
      <c r="L45" s="37">
        <f>SUM(L25:L44)</f>
        <v>45099.30999999999</v>
      </c>
      <c r="M45" s="37">
        <f t="shared" si="0"/>
        <v>454377</v>
      </c>
      <c r="N45" s="37">
        <f>SUM(N25:N44)</f>
        <v>559536.2999999999</v>
      </c>
      <c r="O45" s="38">
        <f t="shared" si="0"/>
        <v>1239272.6378</v>
      </c>
      <c r="P45" s="93">
        <f>SUM(P25:P44)</f>
        <v>1454348.3286539998</v>
      </c>
      <c r="R45" s="123">
        <f>P45-'РАЗХОДИ ПО КМЕТСТВА'!AH35</f>
        <v>0</v>
      </c>
    </row>
    <row r="46" ht="3" customHeight="1"/>
    <row r="47" spans="1:15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  <c r="O47" s="27"/>
    </row>
    <row r="48" spans="1:15" ht="3" customHeight="1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O48" s="27"/>
    </row>
    <row r="49" spans="1:18" ht="15.75">
      <c r="A49" s="47"/>
      <c r="B49" s="39"/>
      <c r="C49" s="40"/>
      <c r="D49" s="40"/>
      <c r="E49" s="40"/>
      <c r="F49" s="108"/>
      <c r="G49" s="40"/>
      <c r="H49" s="108"/>
      <c r="I49" s="40"/>
      <c r="J49" s="108"/>
      <c r="K49" s="27"/>
      <c r="L49" s="105"/>
      <c r="M49" s="27"/>
      <c r="N49" s="105"/>
      <c r="O49" s="27"/>
      <c r="R49" s="92"/>
    </row>
    <row r="50" spans="1:15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O50" s="27"/>
    </row>
    <row r="51" spans="1:15" ht="15">
      <c r="A51" s="27"/>
      <c r="B51" s="39"/>
      <c r="C51" s="40"/>
      <c r="D51" s="40"/>
      <c r="E51" s="40"/>
      <c r="F51" s="134"/>
      <c r="G51" s="40"/>
      <c r="H51" s="40"/>
      <c r="I51" s="40"/>
      <c r="J51" s="134"/>
      <c r="K51" s="41"/>
      <c r="L51" s="133"/>
      <c r="M51" s="41"/>
      <c r="N51" s="133"/>
      <c r="O51" s="27"/>
    </row>
    <row r="52" spans="1:15" ht="5.25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  <c r="O52" s="27"/>
    </row>
    <row r="53" spans="1:15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  <c r="O53" s="27"/>
    </row>
    <row r="54" spans="1:15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7"/>
    </row>
    <row r="55" spans="1:15" ht="2.2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  <c r="O55" s="27"/>
    </row>
    <row r="56" spans="1:15" ht="2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  <c r="O56" s="27"/>
    </row>
    <row r="57" spans="1:15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135"/>
      <c r="M57" s="27"/>
      <c r="N57" s="27"/>
      <c r="O57" s="27"/>
    </row>
    <row r="58" spans="1:15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  <c r="O58" s="27"/>
    </row>
    <row r="59" spans="1:15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  <c r="O59" s="27"/>
    </row>
    <row r="60" spans="1:15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  <c r="O60" s="27"/>
    </row>
    <row r="61" spans="1:15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  <c r="O61" s="27"/>
    </row>
    <row r="62" spans="3:4" ht="12.75">
      <c r="C62"/>
      <c r="D62"/>
    </row>
  </sheetData>
  <sheetProtection/>
  <mergeCells count="19">
    <mergeCell ref="A2:O2"/>
    <mergeCell ref="A3:O3"/>
    <mergeCell ref="A21:O21"/>
    <mergeCell ref="A22:A23"/>
    <mergeCell ref="B22:B23"/>
    <mergeCell ref="M23:N23"/>
    <mergeCell ref="K23:L23"/>
    <mergeCell ref="K22:L22"/>
    <mergeCell ref="O22:P23"/>
    <mergeCell ref="M22:N22"/>
    <mergeCell ref="G22:H22"/>
    <mergeCell ref="G23:H23"/>
    <mergeCell ref="E23:F23"/>
    <mergeCell ref="C23:D23"/>
    <mergeCell ref="C22:F22"/>
    <mergeCell ref="H8:M8"/>
    <mergeCell ref="H9:M9"/>
    <mergeCell ref="I22:J22"/>
    <mergeCell ref="I23:J23"/>
  </mergeCells>
  <printOptions/>
  <pageMargins left="0.3937007874015748" right="0.1968503937007874" top="0" bottom="0" header="0.31496062992125984" footer="0.31496062992125984"/>
  <pageSetup fitToWidth="0" fitToHeight="1" horizontalDpi="600" verticalDpi="600" orientation="landscape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3">
      <selection activeCell="L38" sqref="L38"/>
    </sheetView>
  </sheetViews>
  <sheetFormatPr defaultColWidth="9.140625" defaultRowHeight="12.75"/>
  <cols>
    <col min="1" max="1" width="40.00390625" style="0" customWidth="1"/>
    <col min="2" max="2" width="16.7109375" style="0" customWidth="1"/>
    <col min="3" max="3" width="12.00390625" style="0" customWidth="1"/>
    <col min="4" max="4" width="12.8515625" style="0" customWidth="1"/>
    <col min="5" max="5" width="12.7109375" style="0" customWidth="1"/>
    <col min="6" max="6" width="12.57421875" style="0" customWidth="1"/>
    <col min="7" max="7" width="12.140625" style="0" customWidth="1"/>
    <col min="8" max="10" width="13.7109375" style="0" customWidth="1"/>
    <col min="11" max="11" width="10.8515625" style="0" customWidth="1"/>
    <col min="12" max="12" width="13.57421875" style="0" customWidth="1"/>
    <col min="13" max="13" width="11.140625" style="0" customWidth="1"/>
    <col min="14" max="14" width="13.8515625" style="0" customWidth="1"/>
    <col min="15" max="15" width="12.421875" style="0" customWidth="1"/>
    <col min="16" max="16" width="13.140625" style="0" customWidth="1"/>
  </cols>
  <sheetData>
    <row r="1" spans="1:10" ht="47.25" customHeight="1">
      <c r="A1" s="56"/>
      <c r="B1" s="3"/>
      <c r="C1" s="8"/>
      <c r="D1" s="8"/>
      <c r="E1" s="8"/>
      <c r="F1" s="8"/>
      <c r="G1" s="8"/>
      <c r="H1" s="8"/>
      <c r="I1" s="8"/>
      <c r="J1" s="8"/>
    </row>
    <row r="2" spans="1:15" ht="15.75">
      <c r="A2" s="139" t="s">
        <v>95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7.25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4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267</v>
      </c>
      <c r="O8" s="9"/>
    </row>
    <row r="9" spans="1:15" ht="16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22713</v>
      </c>
      <c r="D10" s="23">
        <v>69977</v>
      </c>
      <c r="E10" s="23">
        <f>SUM(C10:D10)</f>
        <v>92690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45315</v>
      </c>
      <c r="D12" s="23">
        <f>SUM(D13:D14)</f>
        <v>128305</v>
      </c>
      <c r="E12" s="23">
        <f>SUM(C12:D12)</f>
        <v>173620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45315</v>
      </c>
      <c r="D13" s="23">
        <v>128305</v>
      </c>
      <c r="E13" s="23">
        <f>SUM(C13:D13)</f>
        <v>173620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10784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68028</v>
      </c>
      <c r="D16" s="53">
        <f>D10+D12</f>
        <v>198282</v>
      </c>
      <c r="E16" s="53">
        <f>E10+E12+E15</f>
        <v>277094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13" t="s">
        <v>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7.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6" ht="61.5" customHeight="1">
      <c r="A20" s="142" t="s">
        <v>38</v>
      </c>
      <c r="B20" s="142" t="s">
        <v>0</v>
      </c>
      <c r="C20" s="153" t="s">
        <v>63</v>
      </c>
      <c r="D20" s="154"/>
      <c r="E20" s="154"/>
      <c r="F20" s="155"/>
      <c r="G20" s="161" t="s">
        <v>42</v>
      </c>
      <c r="H20" s="162"/>
      <c r="I20" s="161" t="s">
        <v>100</v>
      </c>
      <c r="J20" s="162"/>
      <c r="K20" s="161" t="s">
        <v>43</v>
      </c>
      <c r="L20" s="162"/>
      <c r="M20" s="153" t="s">
        <v>44</v>
      </c>
      <c r="N20" s="155"/>
      <c r="O20" s="149" t="s">
        <v>60</v>
      </c>
      <c r="P20" s="150"/>
    </row>
    <row r="21" spans="1:16" s="1" customFormat="1" ht="45" customHeight="1">
      <c r="A21" s="142"/>
      <c r="B21" s="142"/>
      <c r="C21" s="165" t="s">
        <v>39</v>
      </c>
      <c r="D21" s="166"/>
      <c r="E21" s="163" t="s">
        <v>40</v>
      </c>
      <c r="F21" s="164"/>
      <c r="G21" s="147" t="s">
        <v>40</v>
      </c>
      <c r="H21" s="148"/>
      <c r="I21" s="147" t="s">
        <v>40</v>
      </c>
      <c r="J21" s="148"/>
      <c r="K21" s="147" t="s">
        <v>40</v>
      </c>
      <c r="L21" s="148"/>
      <c r="M21" s="147" t="s">
        <v>40</v>
      </c>
      <c r="N21" s="148"/>
      <c r="O21" s="151"/>
      <c r="P21" s="152"/>
    </row>
    <row r="22" spans="1:16" s="1" customFormat="1" ht="37.5" customHeight="1">
      <c r="A22" s="72"/>
      <c r="B22" s="72"/>
      <c r="C22" s="94" t="s">
        <v>104</v>
      </c>
      <c r="D22" s="95" t="s">
        <v>105</v>
      </c>
      <c r="E22" s="94" t="s">
        <v>104</v>
      </c>
      <c r="F22" s="95" t="s">
        <v>106</v>
      </c>
      <c r="G22" s="94" t="s">
        <v>104</v>
      </c>
      <c r="H22" s="95" t="s">
        <v>106</v>
      </c>
      <c r="I22" s="94" t="s">
        <v>104</v>
      </c>
      <c r="J22" s="95" t="s">
        <v>106</v>
      </c>
      <c r="K22" s="94" t="s">
        <v>104</v>
      </c>
      <c r="L22" s="95" t="s">
        <v>106</v>
      </c>
      <c r="M22" s="94" t="s">
        <v>104</v>
      </c>
      <c r="N22" s="95" t="s">
        <v>106</v>
      </c>
      <c r="O22" s="94" t="s">
        <v>104</v>
      </c>
      <c r="P22" s="95" t="s">
        <v>106</v>
      </c>
    </row>
    <row r="23" spans="1:16" s="2" customFormat="1" ht="28.5" customHeight="1">
      <c r="A23" s="29" t="s">
        <v>1</v>
      </c>
      <c r="B23" s="26" t="s">
        <v>17</v>
      </c>
      <c r="C23" s="30">
        <v>11388</v>
      </c>
      <c r="D23" s="30">
        <f>+'РАЗХОДИ ПО КМЕТСТВА'!AF18</f>
        <v>12690.9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3">
        <f>C23+E23+G23+K23+M23</f>
        <v>11388</v>
      </c>
      <c r="P23" s="86">
        <f>D23+F23+H23+L23+N23</f>
        <v>12690.9</v>
      </c>
    </row>
    <row r="24" spans="1:16" s="2" customFormat="1" ht="31.5" customHeight="1">
      <c r="A24" s="29" t="s">
        <v>24</v>
      </c>
      <c r="B24" s="26" t="s">
        <v>25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3">
        <f aca="true" t="shared" si="0" ref="O24:O42">C24+E24+G24+K24+M24</f>
        <v>0</v>
      </c>
      <c r="P24" s="86">
        <f aca="true" t="shared" si="1" ref="P24:P42">D24+F24+H24+L24+N24</f>
        <v>0</v>
      </c>
    </row>
    <row r="25" spans="1:16" s="2" customFormat="1" ht="30.75" customHeight="1">
      <c r="A25" s="29" t="s">
        <v>32</v>
      </c>
      <c r="B25" s="26" t="s">
        <v>26</v>
      </c>
      <c r="C25" s="30"/>
      <c r="D25" s="30"/>
      <c r="E25" s="30"/>
      <c r="F25" s="30"/>
      <c r="G25" s="30"/>
      <c r="H25" s="30"/>
      <c r="I25" s="30"/>
      <c r="J25" s="30"/>
      <c r="K25" s="30">
        <v>400</v>
      </c>
      <c r="L25" s="30"/>
      <c r="M25" s="30"/>
      <c r="N25" s="30"/>
      <c r="O25" s="33">
        <f t="shared" si="0"/>
        <v>400</v>
      </c>
      <c r="P25" s="86">
        <f t="shared" si="1"/>
        <v>0</v>
      </c>
    </row>
    <row r="26" spans="1:16" s="2" customFormat="1" ht="24" customHeight="1">
      <c r="A26" s="29" t="s">
        <v>28</v>
      </c>
      <c r="B26" s="26" t="s">
        <v>27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t="shared" si="0"/>
        <v>0</v>
      </c>
      <c r="P26" s="86">
        <f t="shared" si="1"/>
        <v>0</v>
      </c>
    </row>
    <row r="27" spans="1:16" s="2" customFormat="1" ht="29.25" customHeight="1">
      <c r="A27" s="29" t="s">
        <v>36</v>
      </c>
      <c r="B27" s="26" t="s">
        <v>37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3">
        <f t="shared" si="0"/>
        <v>0</v>
      </c>
      <c r="P27" s="86">
        <f t="shared" si="1"/>
        <v>0</v>
      </c>
    </row>
    <row r="28" spans="1:16" s="2" customFormat="1" ht="31.5" customHeight="1">
      <c r="A28" s="29" t="s">
        <v>35</v>
      </c>
      <c r="B28" s="26" t="s">
        <v>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9" customHeight="1">
      <c r="A29" s="29" t="s">
        <v>18</v>
      </c>
      <c r="B29" s="26" t="s">
        <v>4</v>
      </c>
      <c r="C29" s="30">
        <f>C23*19.22/100</f>
        <v>2188.7736</v>
      </c>
      <c r="D29" s="30">
        <f>+'РАЗХОДИ ПО КМЕТСТВА'!AE18</f>
        <v>2439.19098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2188.7736</v>
      </c>
      <c r="P29" s="86">
        <f t="shared" si="1"/>
        <v>2439.19098</v>
      </c>
    </row>
    <row r="30" spans="1:16" s="2" customFormat="1" ht="15">
      <c r="A30" s="29" t="s">
        <v>19</v>
      </c>
      <c r="B30" s="26" t="s">
        <v>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15">
      <c r="A31" s="29" t="s">
        <v>20</v>
      </c>
      <c r="B31" s="26" t="s">
        <v>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0</v>
      </c>
      <c r="P31" s="86">
        <f t="shared" si="1"/>
        <v>0</v>
      </c>
    </row>
    <row r="32" spans="1:16" s="2" customFormat="1" ht="17.25" customHeight="1">
      <c r="A32" s="29" t="s">
        <v>21</v>
      </c>
      <c r="B32" s="26" t="s">
        <v>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34.5" customHeight="1">
      <c r="A33" s="29" t="s">
        <v>22</v>
      </c>
      <c r="B33" s="26" t="s">
        <v>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15">
      <c r="A34" s="29" t="s">
        <v>23</v>
      </c>
      <c r="B34" s="26" t="s">
        <v>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2.25" customHeight="1">
      <c r="A35" s="29" t="s">
        <v>29</v>
      </c>
      <c r="B35" s="26" t="s">
        <v>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30</v>
      </c>
      <c r="B36" s="26" t="s">
        <v>10</v>
      </c>
      <c r="C36" s="30"/>
      <c r="D36" s="30"/>
      <c r="E36" s="30">
        <v>200</v>
      </c>
      <c r="F36" s="30">
        <f>+'РАЗХОДИ ПО КМЕТСТВА'!F18+'РАЗХОДИ ПО КМЕТСТВА'!G18</f>
        <v>435.6</v>
      </c>
      <c r="G36" s="30"/>
      <c r="H36" s="30"/>
      <c r="I36" s="30"/>
      <c r="J36" s="30"/>
      <c r="K36" s="30"/>
      <c r="L36" s="30">
        <f>+'РАЗХОДИ ПО КМЕТСТВА'!R18</f>
        <v>45</v>
      </c>
      <c r="M36" s="30"/>
      <c r="N36" s="30"/>
      <c r="O36" s="33">
        <f t="shared" si="0"/>
        <v>200</v>
      </c>
      <c r="P36" s="86">
        <f t="shared" si="1"/>
        <v>480.6</v>
      </c>
    </row>
    <row r="37" spans="1:16" s="2" customFormat="1" ht="29.25" customHeight="1">
      <c r="A37" s="29" t="s">
        <v>62</v>
      </c>
      <c r="B37" s="26" t="s">
        <v>11</v>
      </c>
      <c r="C37" s="30"/>
      <c r="D37" s="30"/>
      <c r="E37" s="30">
        <v>1040</v>
      </c>
      <c r="F37" s="30">
        <f>+'РАЗХОДИ ПО КМЕТСТВА'!C18+'РАЗХОДИ ПО КМЕТСТВА'!D18+'РАЗХОДИ ПО КМЕТСТВА'!E18</f>
        <v>2502.7799999999997</v>
      </c>
      <c r="G37" s="30">
        <v>4025</v>
      </c>
      <c r="H37" s="30">
        <f>+'РАЗХОДИ ПО КМЕТСТВА'!N18</f>
        <v>4165.6</v>
      </c>
      <c r="I37" s="30"/>
      <c r="J37" s="30"/>
      <c r="K37" s="30"/>
      <c r="L37" s="30"/>
      <c r="M37" s="30"/>
      <c r="N37" s="30"/>
      <c r="O37" s="33">
        <f t="shared" si="0"/>
        <v>5065</v>
      </c>
      <c r="P37" s="86">
        <f t="shared" si="1"/>
        <v>6668.38</v>
      </c>
    </row>
    <row r="38" spans="1:16" ht="33.75" customHeight="1">
      <c r="A38" s="29" t="s">
        <v>61</v>
      </c>
      <c r="B38" s="26" t="s">
        <v>12</v>
      </c>
      <c r="C38" s="30"/>
      <c r="D38" s="30"/>
      <c r="E38" s="30">
        <v>520</v>
      </c>
      <c r="F38" s="30">
        <f>+'РАЗХОДИ ПО КМЕТСТВА'!H18+'РАЗХОДИ ПО КМЕТСТВА'!I18+'РАЗХОДИ ПО КМЕТСТВА'!J18+'РАЗХОДИ ПО КМЕТСТВА'!K18</f>
        <v>814.25</v>
      </c>
      <c r="G38" s="30"/>
      <c r="H38" s="30"/>
      <c r="I38" s="30"/>
      <c r="J38" s="30">
        <f>+'РАЗХОДИ ПО КМЕТСТВА'!Y18+'РАЗХОДИ ПО КМЕТСТВА'!AD18</f>
        <v>8722.14</v>
      </c>
      <c r="K38" s="23"/>
      <c r="L38" s="96">
        <f>+'РАЗХОДИ ПО КМЕТСТВА'!Q18</f>
        <v>1156.2</v>
      </c>
      <c r="M38" s="30">
        <v>17634</v>
      </c>
      <c r="N38" s="30">
        <f>+'РАЗХОДИ ПО КМЕТСТВА'!V18+'РАЗХОДИ ПО КМЕТСТВА'!X18</f>
        <v>21046.97</v>
      </c>
      <c r="O38" s="33">
        <f t="shared" si="0"/>
        <v>18154</v>
      </c>
      <c r="P38" s="86">
        <f>D38+F38+H38+L38+N38+J38</f>
        <v>31739.56</v>
      </c>
    </row>
    <row r="39" spans="1:16" ht="24" customHeight="1">
      <c r="A39" s="29" t="s">
        <v>31</v>
      </c>
      <c r="B39" s="26" t="s">
        <v>13</v>
      </c>
      <c r="C39" s="30"/>
      <c r="D39" s="30"/>
      <c r="E39" s="24">
        <v>2302</v>
      </c>
      <c r="F39" s="24">
        <f>+'РАЗХОДИ ПО КМЕТСТВА'!AA18</f>
        <v>184.19</v>
      </c>
      <c r="G39" s="24"/>
      <c r="H39" s="24"/>
      <c r="I39" s="24"/>
      <c r="J39" s="24"/>
      <c r="K39" s="23"/>
      <c r="L39" s="23"/>
      <c r="M39" s="23"/>
      <c r="N39" s="23"/>
      <c r="O39" s="33">
        <f t="shared" si="0"/>
        <v>2302</v>
      </c>
      <c r="P39" s="86">
        <f t="shared" si="1"/>
        <v>184.19</v>
      </c>
    </row>
    <row r="40" spans="1:16" ht="27.75" customHeight="1">
      <c r="A40" s="29" t="s">
        <v>65</v>
      </c>
      <c r="B40" s="26" t="s">
        <v>15</v>
      </c>
      <c r="C40" s="30"/>
      <c r="D40" s="30"/>
      <c r="E40" s="30">
        <v>400</v>
      </c>
      <c r="F40" s="30">
        <f>+'РАЗХОДИ ПО КМЕТСТВА'!M18</f>
        <v>173.84</v>
      </c>
      <c r="G40" s="30"/>
      <c r="H40" s="30"/>
      <c r="I40" s="30"/>
      <c r="J40" s="30"/>
      <c r="K40" s="23"/>
      <c r="L40" s="23"/>
      <c r="M40" s="23"/>
      <c r="N40" s="23"/>
      <c r="O40" s="33">
        <f t="shared" si="0"/>
        <v>400</v>
      </c>
      <c r="P40" s="86">
        <f t="shared" si="1"/>
        <v>173.84</v>
      </c>
    </row>
    <row r="41" spans="1:16" ht="22.5" customHeight="1">
      <c r="A41" s="29" t="s">
        <v>2</v>
      </c>
      <c r="B41" s="26"/>
      <c r="C41" s="30"/>
      <c r="D41" s="30"/>
      <c r="E41" s="30"/>
      <c r="F41" s="30"/>
      <c r="G41" s="30"/>
      <c r="H41" s="30"/>
      <c r="I41" s="30"/>
      <c r="J41" s="30"/>
      <c r="K41" s="23"/>
      <c r="L41" s="23"/>
      <c r="M41" s="23"/>
      <c r="N41" s="23"/>
      <c r="O41" s="33">
        <f t="shared" si="0"/>
        <v>0</v>
      </c>
      <c r="P41" s="86">
        <f t="shared" si="1"/>
        <v>0</v>
      </c>
    </row>
    <row r="42" spans="1:16" ht="24" customHeight="1">
      <c r="A42" s="29" t="s">
        <v>3</v>
      </c>
      <c r="B42" s="26" t="s">
        <v>14</v>
      </c>
      <c r="C42" s="30"/>
      <c r="D42" s="30"/>
      <c r="E42" s="30"/>
      <c r="F42" s="30"/>
      <c r="G42" s="30"/>
      <c r="H42" s="30"/>
      <c r="I42" s="30"/>
      <c r="J42" s="30"/>
      <c r="K42" s="23"/>
      <c r="L42" s="23"/>
      <c r="M42" s="23"/>
      <c r="N42" s="23"/>
      <c r="O42" s="33">
        <f t="shared" si="0"/>
        <v>0</v>
      </c>
      <c r="P42" s="86">
        <f t="shared" si="1"/>
        <v>0</v>
      </c>
    </row>
    <row r="43" spans="1:16" ht="15.75">
      <c r="A43" s="36" t="s">
        <v>59</v>
      </c>
      <c r="B43" s="26"/>
      <c r="C43" s="54">
        <f aca="true" t="shared" si="2" ref="C43:N43">SUM(C23:C42)</f>
        <v>13576.7736</v>
      </c>
      <c r="D43" s="54">
        <f t="shared" si="2"/>
        <v>15130.090979999999</v>
      </c>
      <c r="E43" s="54">
        <f t="shared" si="2"/>
        <v>4462</v>
      </c>
      <c r="F43" s="54">
        <f>SUM(F23:F42)</f>
        <v>4110.66</v>
      </c>
      <c r="G43" s="54">
        <f t="shared" si="2"/>
        <v>4025</v>
      </c>
      <c r="H43" s="54">
        <f t="shared" si="2"/>
        <v>4165.6</v>
      </c>
      <c r="I43" s="54">
        <f t="shared" si="2"/>
        <v>0</v>
      </c>
      <c r="J43" s="54">
        <f t="shared" si="2"/>
        <v>8722.14</v>
      </c>
      <c r="K43" s="54">
        <f t="shared" si="2"/>
        <v>400</v>
      </c>
      <c r="L43" s="54">
        <f t="shared" si="2"/>
        <v>1201.2</v>
      </c>
      <c r="M43" s="54">
        <f t="shared" si="2"/>
        <v>17634</v>
      </c>
      <c r="N43" s="54">
        <f t="shared" si="2"/>
        <v>21046.97</v>
      </c>
      <c r="O43" s="87">
        <f>SUM(O23:O42)</f>
        <v>40097.7736</v>
      </c>
      <c r="P43" s="87">
        <f>SUM(P23:P42)</f>
        <v>54376.66098</v>
      </c>
    </row>
    <row r="45" spans="1:14" ht="15">
      <c r="A45" s="27"/>
      <c r="B45" s="39"/>
      <c r="C45" s="40"/>
      <c r="D45" s="40"/>
      <c r="E45" s="40"/>
      <c r="F45" s="40"/>
      <c r="G45" s="40"/>
      <c r="H45" s="40"/>
      <c r="I45" s="40"/>
      <c r="J45" s="40"/>
      <c r="K45" s="27"/>
      <c r="L45" s="27"/>
      <c r="M45" s="27"/>
      <c r="N45" s="27"/>
    </row>
    <row r="46" spans="1:16" ht="15">
      <c r="A46" s="27"/>
      <c r="B46" s="39"/>
      <c r="C46" s="40"/>
      <c r="D46" s="40"/>
      <c r="E46" s="40"/>
      <c r="F46" s="40"/>
      <c r="G46" s="40"/>
      <c r="H46" s="40"/>
      <c r="I46" s="40"/>
      <c r="J46" s="40"/>
      <c r="K46" s="27"/>
      <c r="L46" s="27"/>
      <c r="M46" s="27"/>
      <c r="N46" s="27"/>
      <c r="P46" s="92">
        <f>'РАЗХОДИ ПО КМЕТСТВА'!AH18-'Васил Друмев'!P43</f>
        <v>0</v>
      </c>
    </row>
    <row r="47" spans="1:14" ht="15.75">
      <c r="A47" s="4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4" ht="15.75">
      <c r="A48" s="41"/>
      <c r="B48" s="39"/>
      <c r="C48" s="40"/>
      <c r="D48" s="40"/>
      <c r="E48" s="40"/>
      <c r="F48" s="40"/>
      <c r="G48" s="40"/>
      <c r="H48" s="40"/>
      <c r="I48" s="40"/>
      <c r="J48" s="40"/>
      <c r="K48" s="47"/>
      <c r="L48" s="47"/>
      <c r="M48" s="27"/>
      <c r="N48" s="27"/>
    </row>
    <row r="49" spans="1:14" ht="15">
      <c r="A49" s="27"/>
      <c r="B49" s="39"/>
      <c r="C49" s="40"/>
      <c r="D49" s="40"/>
      <c r="E49" s="40"/>
      <c r="F49" s="40"/>
      <c r="G49" s="40"/>
      <c r="H49" s="40"/>
      <c r="I49" s="40"/>
      <c r="J49" s="40"/>
      <c r="K49" s="41"/>
      <c r="L49" s="41"/>
      <c r="M49" s="41"/>
      <c r="N49" s="41"/>
    </row>
    <row r="50" spans="1:14" ht="15">
      <c r="A50" s="27"/>
      <c r="B50" s="39"/>
      <c r="C50" s="40"/>
      <c r="D50" s="40"/>
      <c r="E50" s="40"/>
      <c r="F50" s="40"/>
      <c r="G50" s="40"/>
      <c r="H50" s="40"/>
      <c r="I50" s="40"/>
      <c r="J50" s="40"/>
      <c r="K50" s="27"/>
      <c r="L50" s="27"/>
      <c r="M50" s="27"/>
      <c r="N50" s="27"/>
    </row>
    <row r="51" spans="1:14" ht="15.75">
      <c r="A51" s="47"/>
      <c r="B51" s="39"/>
      <c r="C51" s="40"/>
      <c r="D51" s="40"/>
      <c r="E51" s="40"/>
      <c r="F51" s="40"/>
      <c r="G51" s="40"/>
      <c r="H51" s="40"/>
      <c r="I51" s="40"/>
      <c r="J51" s="40"/>
      <c r="K51" s="27"/>
      <c r="L51" s="27"/>
      <c r="M51" s="27"/>
      <c r="N51" s="27"/>
    </row>
    <row r="52" spans="1:14" ht="15">
      <c r="A52" s="41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6" customHeight="1">
      <c r="A53" s="2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6.75" customHeight="1">
      <c r="A54" s="27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15.75">
      <c r="A55" s="47"/>
      <c r="B55" s="42"/>
      <c r="C55" s="40"/>
      <c r="D55" s="40"/>
      <c r="E55" s="40"/>
      <c r="F55" s="40"/>
      <c r="G55" s="43"/>
      <c r="H55" s="43"/>
      <c r="I55" s="43"/>
      <c r="J55" s="43"/>
      <c r="K55" s="44"/>
      <c r="L55" s="44"/>
      <c r="M55" s="27"/>
      <c r="N55" s="27"/>
    </row>
    <row r="56" spans="1:14" ht="15">
      <c r="A56" s="41"/>
      <c r="B56" s="42"/>
      <c r="C56" s="40"/>
      <c r="D56" s="40"/>
      <c r="E56" s="40"/>
      <c r="F56" s="40"/>
      <c r="G56" s="43"/>
      <c r="H56" s="43"/>
      <c r="I56" s="43"/>
      <c r="J56" s="43"/>
      <c r="K56" s="27"/>
      <c r="L56" s="27"/>
      <c r="M56" s="27"/>
      <c r="N56" s="27"/>
    </row>
    <row r="57" spans="1:14" ht="15">
      <c r="A57" s="27"/>
      <c r="B57" s="39"/>
      <c r="C57" s="40"/>
      <c r="D57" s="40"/>
      <c r="E57" s="40"/>
      <c r="F57" s="40"/>
      <c r="G57" s="40"/>
      <c r="H57" s="40"/>
      <c r="I57" s="40"/>
      <c r="J57" s="40"/>
      <c r="K57" s="27"/>
      <c r="L57" s="27"/>
      <c r="M57" s="27"/>
      <c r="N57" s="27"/>
    </row>
    <row r="58" spans="1:14" ht="15.75">
      <c r="A58" s="48"/>
      <c r="B58" s="49"/>
      <c r="C58" s="50"/>
      <c r="D58" s="50"/>
      <c r="E58" s="40"/>
      <c r="F58" s="40"/>
      <c r="G58" s="40"/>
      <c r="H58" s="40"/>
      <c r="I58" s="40"/>
      <c r="J58" s="40"/>
      <c r="K58" s="27"/>
      <c r="L58" s="27"/>
      <c r="M58" s="27"/>
      <c r="N58" s="27"/>
    </row>
    <row r="59" spans="1:14" ht="15" customHeight="1">
      <c r="A59" s="45"/>
      <c r="B59" s="46"/>
      <c r="C59" s="41"/>
      <c r="D59" s="41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2:10" ht="12.75">
      <c r="B60" s="3"/>
      <c r="C60" s="8"/>
      <c r="D60" s="8"/>
      <c r="E60" s="8"/>
      <c r="F60" s="8"/>
      <c r="G60" s="8"/>
      <c r="H60" s="8"/>
      <c r="I60" s="8"/>
      <c r="J60" s="8"/>
    </row>
  </sheetData>
  <sheetProtection/>
  <mergeCells count="19">
    <mergeCell ref="A2:O2"/>
    <mergeCell ref="A3:O3"/>
    <mergeCell ref="A19:O19"/>
    <mergeCell ref="A20:A21"/>
    <mergeCell ref="B20:B21"/>
    <mergeCell ref="C21:D21"/>
    <mergeCell ref="E21:F21"/>
    <mergeCell ref="C20:F20"/>
    <mergeCell ref="O20:P21"/>
    <mergeCell ref="G21:H21"/>
    <mergeCell ref="H8:M8"/>
    <mergeCell ref="H9:M9"/>
    <mergeCell ref="G20:H20"/>
    <mergeCell ref="K20:L20"/>
    <mergeCell ref="K21:L21"/>
    <mergeCell ref="M21:N21"/>
    <mergeCell ref="M20:N20"/>
    <mergeCell ref="I20:J20"/>
    <mergeCell ref="I21:J21"/>
  </mergeCells>
  <printOptions/>
  <pageMargins left="0.5905511811023623" right="0.2362204724409449" top="0" bottom="0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30">
      <selection activeCell="I41" sqref="I41"/>
    </sheetView>
  </sheetViews>
  <sheetFormatPr defaultColWidth="9.140625" defaultRowHeight="12.75"/>
  <cols>
    <col min="1" max="1" width="39.28125" style="0" customWidth="1"/>
    <col min="2" max="2" width="13.00390625" style="3" customWidth="1"/>
    <col min="3" max="3" width="12.421875" style="8" customWidth="1"/>
    <col min="4" max="4" width="13.00390625" style="8" customWidth="1"/>
    <col min="5" max="5" width="11.28125" style="8" customWidth="1"/>
    <col min="6" max="6" width="12.8515625" style="8" customWidth="1"/>
    <col min="7" max="7" width="11.8515625" style="8" customWidth="1"/>
    <col min="8" max="10" width="12.8515625" style="8" customWidth="1"/>
    <col min="11" max="11" width="10.140625" style="0" customWidth="1"/>
    <col min="12" max="12" width="13.8515625" style="0" customWidth="1"/>
    <col min="13" max="13" width="11.8515625" style="0" customWidth="1"/>
    <col min="14" max="14" width="12.57421875" style="0" customWidth="1"/>
    <col min="15" max="15" width="10.8515625" style="0" bestFit="1" customWidth="1"/>
    <col min="16" max="16" width="13.14062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6.5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6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287</v>
      </c>
      <c r="O8" s="9"/>
    </row>
    <row r="9" spans="1:15" ht="32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8870</v>
      </c>
      <c r="D10" s="23">
        <v>6841</v>
      </c>
      <c r="E10" s="23">
        <f>SUM(C10:D10)</f>
        <v>15711</v>
      </c>
      <c r="F10" s="23">
        <f>5435.21/2</f>
        <v>2717.605</v>
      </c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16292</v>
      </c>
      <c r="D12" s="23">
        <f>SUM(D13:D14)</f>
        <v>11469</v>
      </c>
      <c r="E12" s="23">
        <f>SUM(C12:D12)</f>
        <v>27761</v>
      </c>
      <c r="F12" s="23">
        <f>SUM(F13:F14)</f>
        <v>4440.275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16292</v>
      </c>
      <c r="D13" s="23">
        <v>11469</v>
      </c>
      <c r="E13" s="23">
        <f>SUM(C13:D13)</f>
        <v>27761</v>
      </c>
      <c r="F13" s="23">
        <f>8880.55/2</f>
        <v>4440.275</v>
      </c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41975</v>
      </c>
      <c r="F15" s="23">
        <f>E15/2</f>
        <v>20987.5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25162</v>
      </c>
      <c r="D16" s="53">
        <f>D10+D12</f>
        <v>18310</v>
      </c>
      <c r="E16" s="53">
        <f>E10+E12+E15</f>
        <v>85447</v>
      </c>
      <c r="F16" s="53">
        <f>F10+F12</f>
        <v>7157.879999999999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1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38.2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1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26" t="s">
        <v>17</v>
      </c>
      <c r="C25" s="76">
        <v>11640</v>
      </c>
      <c r="D25" s="76">
        <f>+'РАЗХОДИ ПО КМЕТСТВА'!AF17</f>
        <v>13151.83</v>
      </c>
      <c r="E25" s="76"/>
      <c r="F25" s="76"/>
      <c r="G25" s="30"/>
      <c r="H25" s="76"/>
      <c r="I25" s="76"/>
      <c r="J25" s="76"/>
      <c r="K25" s="30"/>
      <c r="L25" s="76"/>
      <c r="M25" s="30"/>
      <c r="N25" s="76"/>
      <c r="O25" s="88">
        <f>C25+E25+G25+K25+M25</f>
        <v>11640</v>
      </c>
      <c r="P25" s="86">
        <f>D25+F25+H25+L25+N25</f>
        <v>13151.83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88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88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88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88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88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2237.208</v>
      </c>
      <c r="D31" s="30">
        <f>+'РАЗХОДИ ПО КМЕТСТВА'!AE17</f>
        <v>2527.7817259999997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88">
        <f t="shared" si="0"/>
        <v>2237.208</v>
      </c>
      <c r="P31" s="86">
        <f t="shared" si="1"/>
        <v>2527.7817259999997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88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88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88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8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88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88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КМЕТСТВА'!F17+'РАЗХОДИ ПО КМЕТСТВА'!G17</f>
        <v>249.6</v>
      </c>
      <c r="G38" s="30"/>
      <c r="H38" s="30"/>
      <c r="I38" s="30"/>
      <c r="J38" s="30"/>
      <c r="K38" s="30"/>
      <c r="L38" s="30">
        <f>+'РАЗХОДИ ПО КМЕТСТВА'!R17</f>
        <v>45</v>
      </c>
      <c r="M38" s="30"/>
      <c r="N38" s="30"/>
      <c r="O38" s="88">
        <f t="shared" si="0"/>
        <v>200</v>
      </c>
      <c r="P38" s="86">
        <f>D38+F38+H38+L38+N38</f>
        <v>294.6</v>
      </c>
    </row>
    <row r="39" spans="1:16" s="2" customFormat="1" ht="45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КМЕТСТВА'!C17+'РАЗХОДИ ПО КМЕТСТВА'!D17+'РАЗХОДИ ПО КМЕТСТВА'!E17</f>
        <v>341.51</v>
      </c>
      <c r="G39" s="30">
        <v>4818</v>
      </c>
      <c r="H39" s="30">
        <f>+'РАЗХОДИ ПО КМЕТСТВА'!N17</f>
        <v>4252.51</v>
      </c>
      <c r="I39" s="30"/>
      <c r="J39" s="30"/>
      <c r="K39" s="30"/>
      <c r="L39" s="30"/>
      <c r="M39" s="30"/>
      <c r="N39" s="30"/>
      <c r="O39" s="88">
        <f t="shared" si="0"/>
        <v>5858</v>
      </c>
      <c r="P39" s="86">
        <f t="shared" si="1"/>
        <v>4594.02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КМЕТСТВА'!H17+'РАЗХОДИ ПО КМЕТСТВА'!I17+'РАЗХОДИ ПО КМЕТСТВА'!J17+'РАЗХОДИ ПО КМЕТСТВА'!L17+'РАЗХОДИ ПО КМЕТСТВА'!K17</f>
        <v>856.02</v>
      </c>
      <c r="G40" s="30"/>
      <c r="H40" s="30"/>
      <c r="I40" s="30"/>
      <c r="J40" s="30">
        <f>+'РАЗХОДИ ПО КМЕТСТВА'!Y17+'РАЗХОДИ ПО КМЕТСТВА'!AD17</f>
        <v>5189.48</v>
      </c>
      <c r="K40" s="23"/>
      <c r="L40" s="30">
        <f>+'РАЗХОДИ ПО КМЕТСТВА'!Q17+'РАЗХОДИ ПО КМЕТСТВА'!X17</f>
        <v>1331.4</v>
      </c>
      <c r="M40" s="30">
        <v>16205</v>
      </c>
      <c r="N40" s="30">
        <f>+'РАЗХОДИ ПО КМЕТСТВА'!V17</f>
        <v>16117.17</v>
      </c>
      <c r="O40" s="88">
        <f t="shared" si="0"/>
        <v>16725</v>
      </c>
      <c r="P40" s="86">
        <f>D40+F40+H40+L40+N40+J40</f>
        <v>23494.07</v>
      </c>
    </row>
    <row r="41" spans="1:16" ht="15.75">
      <c r="A41" s="29" t="s">
        <v>31</v>
      </c>
      <c r="B41" s="26" t="s">
        <v>13</v>
      </c>
      <c r="C41" s="30"/>
      <c r="D41" s="30"/>
      <c r="E41" s="24">
        <v>2474</v>
      </c>
      <c r="F41" s="24"/>
      <c r="G41" s="24"/>
      <c r="H41" s="24"/>
      <c r="I41" s="24"/>
      <c r="J41" s="24"/>
      <c r="K41" s="23"/>
      <c r="L41" s="23"/>
      <c r="M41" s="23"/>
      <c r="N41" s="23"/>
      <c r="O41" s="88">
        <f t="shared" si="0"/>
        <v>2474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400</v>
      </c>
      <c r="F42" s="30">
        <f>+'РАЗХОДИ ПО КМЕТСТВА'!M17</f>
        <v>571.41</v>
      </c>
      <c r="G42" s="30"/>
      <c r="H42" s="30"/>
      <c r="I42" s="30"/>
      <c r="J42" s="30"/>
      <c r="K42" s="23"/>
      <c r="L42" s="23"/>
      <c r="M42" s="23"/>
      <c r="N42" s="23"/>
      <c r="O42" s="88">
        <f t="shared" si="0"/>
        <v>400</v>
      </c>
      <c r="P42" s="86">
        <f t="shared" si="1"/>
        <v>571.41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88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88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N45">SUM(C25:C44)</f>
        <v>13877.208</v>
      </c>
      <c r="D45" s="54">
        <f t="shared" si="2"/>
        <v>15679.611726</v>
      </c>
      <c r="E45" s="54">
        <f t="shared" si="2"/>
        <v>4634</v>
      </c>
      <c r="F45" s="54">
        <f t="shared" si="2"/>
        <v>2018.54</v>
      </c>
      <c r="G45" s="54">
        <f t="shared" si="2"/>
        <v>4818</v>
      </c>
      <c r="H45" s="54">
        <f t="shared" si="2"/>
        <v>4252.51</v>
      </c>
      <c r="I45" s="54">
        <f t="shared" si="2"/>
        <v>0</v>
      </c>
      <c r="J45" s="54">
        <f t="shared" si="2"/>
        <v>5189.48</v>
      </c>
      <c r="K45" s="54">
        <f t="shared" si="2"/>
        <v>400</v>
      </c>
      <c r="L45" s="54">
        <f t="shared" si="2"/>
        <v>1376.4</v>
      </c>
      <c r="M45" s="54">
        <f t="shared" si="2"/>
        <v>16205</v>
      </c>
      <c r="N45" s="54">
        <f t="shared" si="2"/>
        <v>16117.17</v>
      </c>
      <c r="O45" s="89">
        <f>SUM(O25:O44)</f>
        <v>39934.208</v>
      </c>
      <c r="P45" s="87">
        <f>SUM(P25:P44)-P32-P34-P35</f>
        <v>44633.711726</v>
      </c>
    </row>
    <row r="46" ht="5.25" customHeight="1">
      <c r="P46" s="83"/>
    </row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КМЕТСТВА'!AH17-Велино!P45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6" customHeight="1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4.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5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C23:D23"/>
    <mergeCell ref="E23:F23"/>
    <mergeCell ref="O22:P23"/>
    <mergeCell ref="G23:H23"/>
    <mergeCell ref="H8:M8"/>
    <mergeCell ref="H9:M9"/>
    <mergeCell ref="K23:L23"/>
    <mergeCell ref="M23:N23"/>
    <mergeCell ref="K22:L22"/>
    <mergeCell ref="M22:N22"/>
    <mergeCell ref="G22:H22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27">
      <selection activeCell="N40" sqref="N40"/>
    </sheetView>
  </sheetViews>
  <sheetFormatPr defaultColWidth="9.140625" defaultRowHeight="12.75"/>
  <cols>
    <col min="1" max="1" width="37.7109375" style="0" customWidth="1"/>
    <col min="2" max="2" width="12.7109375" style="3" bestFit="1" customWidth="1"/>
    <col min="3" max="3" width="12.28125" style="8" customWidth="1"/>
    <col min="4" max="4" width="13.57421875" style="8" customWidth="1"/>
    <col min="5" max="5" width="11.00390625" style="8" customWidth="1"/>
    <col min="6" max="6" width="11.57421875" style="8" bestFit="1" customWidth="1"/>
    <col min="7" max="7" width="12.140625" style="8" customWidth="1"/>
    <col min="8" max="8" width="11.57421875" style="8" bestFit="1" customWidth="1"/>
    <col min="9" max="9" width="13.00390625" style="8" customWidth="1"/>
    <col min="10" max="10" width="11.57421875" style="8" bestFit="1" customWidth="1"/>
    <col min="11" max="11" width="10.00390625" style="0" customWidth="1"/>
    <col min="12" max="12" width="11.57421875" style="0" bestFit="1" customWidth="1"/>
    <col min="13" max="13" width="11.140625" style="0" customWidth="1"/>
    <col min="14" max="14" width="11.57421875" style="0" bestFit="1" customWidth="1"/>
    <col min="15" max="15" width="10.8515625" style="0" bestFit="1" customWidth="1"/>
    <col min="16" max="16" width="11.57421875" style="0" bestFit="1" customWidth="1"/>
    <col min="20" max="20" width="11.57421875" style="0" bestFit="1" customWidth="1"/>
  </cols>
  <sheetData>
    <row r="1" ht="18">
      <c r="A1" s="56"/>
    </row>
    <row r="2" spans="1:15" ht="15.75">
      <c r="A2" s="139" t="s">
        <v>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" customHeight="1">
      <c r="A6" s="9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7.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228</v>
      </c>
      <c r="O8" s="9"/>
    </row>
    <row r="9" spans="1:15" ht="1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5769</v>
      </c>
      <c r="D10" s="23">
        <v>4432</v>
      </c>
      <c r="E10" s="23">
        <f>SUM(C10:D10)</f>
        <v>10201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10161</v>
      </c>
      <c r="D12" s="23">
        <f>SUM(D13:D14)</f>
        <v>7985</v>
      </c>
      <c r="E12" s="23">
        <f>SUM(C12:D12)</f>
        <v>18146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10161</v>
      </c>
      <c r="D13" s="23">
        <v>7985</v>
      </c>
      <c r="E13" s="23">
        <f>SUM(C13:D13)</f>
        <v>18146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3774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15930</v>
      </c>
      <c r="D16" s="53">
        <f>D10+D12</f>
        <v>12417</v>
      </c>
      <c r="E16" s="53">
        <f>E10+E12+E15</f>
        <v>32121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7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6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1.5" customHeight="1">
      <c r="A22" s="142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9.5" customHeight="1">
      <c r="A23" s="142"/>
      <c r="B23" s="169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0.7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2.25" customHeight="1">
      <c r="A25" s="29" t="s">
        <v>1</v>
      </c>
      <c r="B25" s="74" t="s">
        <v>17</v>
      </c>
      <c r="C25" s="76">
        <v>12468</v>
      </c>
      <c r="D25" s="76">
        <f>+'РАЗХОДИ ПО КМЕТСТВА'!AF7</f>
        <v>13843.82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>
        <f>C25+E25+G25+K25+M25</f>
        <v>12468</v>
      </c>
      <c r="P25" s="86">
        <f>D25+F25+H25+L25+N25</f>
        <v>13843.82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77">
        <f aca="true" t="shared" si="0" ref="O26:O44">C26+E26+G26+K26+M26</f>
        <v>0</v>
      </c>
      <c r="P26" s="86">
        <f aca="true" t="shared" si="1" ref="P26:P46">D26+F26+H26+L26+N26</f>
        <v>0</v>
      </c>
    </row>
    <row r="27" spans="1:16" s="2" customFormat="1" ht="31.5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77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77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77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77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2396.3496</v>
      </c>
      <c r="D31" s="30">
        <f>+'РАЗХОДИ ПО КМЕТСТВА'!AE7</f>
        <v>2660.7822039999996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77">
        <f t="shared" si="0"/>
        <v>2396.3496</v>
      </c>
      <c r="P31" s="86">
        <f t="shared" si="1"/>
        <v>2660.7822039999996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77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77">
        <f t="shared" si="0"/>
        <v>0</v>
      </c>
      <c r="P33" s="86">
        <f t="shared" si="1"/>
        <v>0</v>
      </c>
    </row>
    <row r="34" spans="1:16" s="2" customFormat="1" ht="18.7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77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7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7">
        <f t="shared" si="0"/>
        <v>0</v>
      </c>
      <c r="P36" s="86">
        <f t="shared" si="1"/>
        <v>0</v>
      </c>
    </row>
    <row r="37" spans="1:16" s="2" customFormat="1" ht="17.25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7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КМЕТСТВА'!F7+'РАЗХОДИ ПО КМЕТСТВА'!G7</f>
        <v>292.34</v>
      </c>
      <c r="G38" s="30"/>
      <c r="H38" s="30"/>
      <c r="I38" s="30"/>
      <c r="J38" s="30"/>
      <c r="K38" s="30"/>
      <c r="L38" s="30">
        <f>+'РАЗХОДИ ПО КМЕТСТВА'!R7</f>
        <v>27</v>
      </c>
      <c r="M38" s="30"/>
      <c r="N38" s="30"/>
      <c r="O38" s="77">
        <f t="shared" si="0"/>
        <v>200</v>
      </c>
      <c r="P38" s="86">
        <f t="shared" si="1"/>
        <v>319.34</v>
      </c>
    </row>
    <row r="39" spans="1:16" s="2" customFormat="1" ht="30.75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КМЕТСТВА'!C7+'РАЗХОДИ ПО КМЕТСТВА'!D7+'РАЗХОДИ ПО КМЕТСТВА'!E7</f>
        <v>1898.56</v>
      </c>
      <c r="G39" s="30">
        <v>1840</v>
      </c>
      <c r="H39" s="30">
        <f>+'РАЗХОДИ ПО КМЕТСТВА'!N7</f>
        <v>1816.14</v>
      </c>
      <c r="I39" s="30"/>
      <c r="J39" s="30"/>
      <c r="K39" s="30"/>
      <c r="L39" s="30"/>
      <c r="M39" s="30"/>
      <c r="N39" s="30"/>
      <c r="O39" s="77">
        <f t="shared" si="0"/>
        <v>2880</v>
      </c>
      <c r="P39" s="86">
        <f t="shared" si="1"/>
        <v>3714.7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КМЕТСТВА'!H7+'РАЗХОДИ ПО КМЕТСТВА'!I7+'РАЗХОДИ ПО КМЕТСТВА'!J7+'РАЗХОДИ ПО КМЕТСТВА'!K7</f>
        <v>566.48</v>
      </c>
      <c r="G40" s="30"/>
      <c r="H40" s="30"/>
      <c r="I40" s="30"/>
      <c r="J40" s="30">
        <f>+'РАЗХОДИ ПО КМЕТСТВА'!Y7</f>
        <v>476.88</v>
      </c>
      <c r="K40" s="23"/>
      <c r="L40" s="96">
        <f>+'РАЗХОДИ ПО КМЕТСТВА'!Q7</f>
        <v>1059.6</v>
      </c>
      <c r="M40" s="30">
        <v>11736</v>
      </c>
      <c r="N40" s="30">
        <f>+'РАЗХОДИ ПО КМЕТСТВА'!V7+'РАЗХОДИ ПО КМЕТСТВА'!X7</f>
        <v>9261.67</v>
      </c>
      <c r="O40" s="77">
        <f t="shared" si="0"/>
        <v>12256</v>
      </c>
      <c r="P40" s="86">
        <f>D40+F40+H40+L40+N40+J40</f>
        <v>11364.63</v>
      </c>
    </row>
    <row r="41" spans="1:16" ht="15.75">
      <c r="A41" s="29" t="s">
        <v>31</v>
      </c>
      <c r="B41" s="26" t="s">
        <v>13</v>
      </c>
      <c r="C41" s="30"/>
      <c r="D41" s="30"/>
      <c r="E41" s="24">
        <v>1965</v>
      </c>
      <c r="F41" s="24"/>
      <c r="G41" s="24"/>
      <c r="H41" s="24"/>
      <c r="I41" s="24"/>
      <c r="J41" s="24"/>
      <c r="K41" s="23"/>
      <c r="L41" s="23"/>
      <c r="M41" s="23"/>
      <c r="N41" s="23"/>
      <c r="O41" s="77">
        <f t="shared" si="0"/>
        <v>1965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380</v>
      </c>
      <c r="F42" s="30">
        <f>+'РАЗХОДИ ПО КМЕТСТВА'!M7</f>
        <v>495</v>
      </c>
      <c r="G42" s="30"/>
      <c r="H42" s="30"/>
      <c r="I42" s="30"/>
      <c r="J42" s="30"/>
      <c r="K42" s="23"/>
      <c r="L42" s="23"/>
      <c r="M42" s="23"/>
      <c r="N42" s="23"/>
      <c r="O42" s="77">
        <f t="shared" si="0"/>
        <v>380</v>
      </c>
      <c r="P42" s="86">
        <f t="shared" si="1"/>
        <v>495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77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77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N45">SUM(C25:C44)</f>
        <v>14864.3496</v>
      </c>
      <c r="D45" s="54">
        <f t="shared" si="2"/>
        <v>16504.602204</v>
      </c>
      <c r="E45" s="54">
        <f t="shared" si="2"/>
        <v>4105</v>
      </c>
      <c r="F45" s="54">
        <f t="shared" si="2"/>
        <v>3252.38</v>
      </c>
      <c r="G45" s="54">
        <f t="shared" si="2"/>
        <v>1840</v>
      </c>
      <c r="H45" s="54">
        <f t="shared" si="2"/>
        <v>1816.14</v>
      </c>
      <c r="I45" s="54">
        <f t="shared" si="2"/>
        <v>0</v>
      </c>
      <c r="J45" s="54">
        <f t="shared" si="2"/>
        <v>476.88</v>
      </c>
      <c r="K45" s="54">
        <f t="shared" si="2"/>
        <v>400</v>
      </c>
      <c r="L45" s="54">
        <f t="shared" si="2"/>
        <v>1086.6</v>
      </c>
      <c r="M45" s="54">
        <f t="shared" si="2"/>
        <v>11736</v>
      </c>
      <c r="N45" s="54">
        <f t="shared" si="2"/>
        <v>9261.67</v>
      </c>
      <c r="O45" s="90">
        <f>SUM(O25:O44)</f>
        <v>32945.3496</v>
      </c>
      <c r="P45" s="90">
        <f>SUM(P25:P44)</f>
        <v>32398.272204</v>
      </c>
    </row>
    <row r="46" ht="6" customHeight="1">
      <c r="P46" s="86">
        <f t="shared" si="1"/>
        <v>0</v>
      </c>
    </row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КМЕТСТВА'!AH7-Ветрище!P45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6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9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C23:D23"/>
    <mergeCell ref="E23:F23"/>
    <mergeCell ref="O22:P23"/>
    <mergeCell ref="G22:H22"/>
    <mergeCell ref="H8:M8"/>
    <mergeCell ref="H9:M9"/>
    <mergeCell ref="G23:H23"/>
    <mergeCell ref="K22:L22"/>
    <mergeCell ref="K23:L23"/>
    <mergeCell ref="M22:N22"/>
    <mergeCell ref="M23:N23"/>
    <mergeCell ref="I22:J22"/>
    <mergeCell ref="I23:J23"/>
  </mergeCells>
  <printOptions/>
  <pageMargins left="0.5118110236220472" right="0.15748031496062992" top="0" bottom="0.2755905511811024" header="0.31496062992125984" footer="0.2755905511811024"/>
  <pageSetup fitToWidth="0" fitToHeight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B29">
      <selection activeCell="N40" sqref="N40"/>
    </sheetView>
  </sheetViews>
  <sheetFormatPr defaultColWidth="9.140625" defaultRowHeight="12.75"/>
  <cols>
    <col min="1" max="1" width="38.7109375" style="0" customWidth="1"/>
    <col min="2" max="2" width="13.140625" style="3" customWidth="1"/>
    <col min="3" max="3" width="11.7109375" style="8" customWidth="1"/>
    <col min="4" max="4" width="13.00390625" style="8" customWidth="1"/>
    <col min="5" max="5" width="11.421875" style="8" customWidth="1"/>
    <col min="6" max="6" width="13.00390625" style="8" customWidth="1"/>
    <col min="7" max="7" width="10.140625" style="8" customWidth="1"/>
    <col min="8" max="10" width="13.140625" style="8" customWidth="1"/>
    <col min="11" max="11" width="11.28125" style="0" customWidth="1"/>
    <col min="12" max="12" width="12.57421875" style="0" customWidth="1"/>
    <col min="13" max="13" width="12.00390625" style="0" customWidth="1"/>
    <col min="14" max="14" width="12.7109375" style="0" customWidth="1"/>
    <col min="15" max="15" width="10.8515625" style="0" bestFit="1" customWidth="1"/>
    <col min="16" max="16" width="12.421875" style="0" customWidth="1"/>
    <col min="20" max="20" width="11.57421875" style="0" bestFit="1" customWidth="1"/>
  </cols>
  <sheetData>
    <row r="1" ht="43.5" customHeight="1">
      <c r="A1" s="56"/>
    </row>
    <row r="2" spans="1:15" ht="15.75">
      <c r="A2" s="139" t="s">
        <v>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5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9.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9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711</v>
      </c>
      <c r="O8" s="9"/>
    </row>
    <row r="9" spans="1:15" ht="15.7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22062</v>
      </c>
      <c r="D10" s="23">
        <v>10919</v>
      </c>
      <c r="E10" s="23">
        <f>SUM(C10:D10)</f>
        <v>32981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28126</v>
      </c>
      <c r="D12" s="23">
        <f>SUM(D13:D14)</f>
        <v>12596</v>
      </c>
      <c r="E12" s="23">
        <f>SUM(C12:D12)</f>
        <v>40722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28126</v>
      </c>
      <c r="D13" s="23">
        <v>12596</v>
      </c>
      <c r="E13" s="23">
        <f>SUM(C13:D13)</f>
        <v>40722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4737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50188</v>
      </c>
      <c r="D16" s="53">
        <f>D10+D12</f>
        <v>23515</v>
      </c>
      <c r="E16" s="53">
        <f>E10+E12+E15</f>
        <v>78440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.7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 customHeight="1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2.25" customHeight="1">
      <c r="A22" s="142" t="s">
        <v>38</v>
      </c>
      <c r="B22" s="142" t="s">
        <v>0</v>
      </c>
      <c r="C22" s="170" t="s">
        <v>63</v>
      </c>
      <c r="D22" s="170"/>
      <c r="E22" s="153"/>
      <c r="F22" s="7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4"/>
      <c r="O22" s="149" t="s">
        <v>60</v>
      </c>
      <c r="P22" s="150"/>
    </row>
    <row r="23" spans="1:16" s="1" customFormat="1" ht="46.5" customHeight="1">
      <c r="A23" s="142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60"/>
      <c r="O23" s="151"/>
      <c r="P23" s="152"/>
    </row>
    <row r="24" spans="1:16" s="1" customFormat="1" ht="31.5" customHeight="1">
      <c r="A24" s="72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0">
      <c r="A25" s="29" t="s">
        <v>1</v>
      </c>
      <c r="B25" s="74" t="s">
        <v>17</v>
      </c>
      <c r="C25" s="76">
        <v>16502</v>
      </c>
      <c r="D25" s="76">
        <f>+'РАЗХОДИ ПО КМЕТСТВА'!AF23</f>
        <v>18431.73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>
        <f>C25+E25+G25+K25+M25</f>
        <v>16502</v>
      </c>
      <c r="P25" s="86">
        <f>D25+F25+H25+L25+N25</f>
        <v>18431.73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77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0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77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77">
        <f t="shared" si="0"/>
        <v>0</v>
      </c>
      <c r="P28" s="86">
        <f t="shared" si="1"/>
        <v>0</v>
      </c>
    </row>
    <row r="29" spans="1:16" s="2" customFormat="1" ht="17.25" customHeight="1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77">
        <f t="shared" si="0"/>
        <v>0</v>
      </c>
      <c r="P29" s="86">
        <f t="shared" si="1"/>
        <v>0</v>
      </c>
    </row>
    <row r="30" spans="1:16" s="2" customFormat="1" ht="13.5" customHeight="1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77">
        <f t="shared" si="0"/>
        <v>0</v>
      </c>
      <c r="P30" s="86">
        <f t="shared" si="1"/>
        <v>0</v>
      </c>
    </row>
    <row r="31" spans="1:16" s="2" customFormat="1" ht="31.5" customHeight="1">
      <c r="A31" s="29" t="s">
        <v>18</v>
      </c>
      <c r="B31" s="26" t="s">
        <v>4</v>
      </c>
      <c r="C31" s="30">
        <f>C25*19.22/100</f>
        <v>3171.6844</v>
      </c>
      <c r="D31" s="30">
        <f>+'РАЗХОДИ ПО КМЕТСТВА'!AE23</f>
        <v>3542.5785059999994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77">
        <f t="shared" si="0"/>
        <v>3171.6844</v>
      </c>
      <c r="P31" s="86">
        <f t="shared" si="1"/>
        <v>3542.5785059999994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77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77">
        <f t="shared" si="0"/>
        <v>0</v>
      </c>
      <c r="P33" s="86">
        <f t="shared" si="1"/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77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7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7">
        <f t="shared" si="0"/>
        <v>0</v>
      </c>
      <c r="P36" s="86">
        <f t="shared" si="1"/>
        <v>0</v>
      </c>
    </row>
    <row r="37" spans="1:16" s="2" customFormat="1" ht="15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7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f>200+26.8</f>
        <v>226.8</v>
      </c>
      <c r="F38" s="30">
        <f>+'РАЗХОДИ ПО КМЕТСТВА'!F23+'РАЗХОДИ ПО КМЕТСТВА'!G23</f>
        <v>256.15999999999997</v>
      </c>
      <c r="G38" s="30"/>
      <c r="H38" s="30"/>
      <c r="I38" s="30"/>
      <c r="J38" s="30"/>
      <c r="K38" s="30"/>
      <c r="L38" s="30">
        <f>+'РАЗХОДИ ПО КМЕТСТВА'!R23</f>
        <v>27</v>
      </c>
      <c r="M38" s="30"/>
      <c r="N38" s="30"/>
      <c r="O38" s="77">
        <f t="shared" si="0"/>
        <v>226.8</v>
      </c>
      <c r="P38" s="86">
        <f t="shared" si="1"/>
        <v>283.15999999999997</v>
      </c>
    </row>
    <row r="39" spans="1:16" s="2" customFormat="1" ht="36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КМЕТСТВА'!C23+'РАЗХОДИ ПО КМЕТСТВА'!E23</f>
        <v>2321.95</v>
      </c>
      <c r="G39" s="30">
        <v>3735</v>
      </c>
      <c r="H39" s="30">
        <f>+'РАЗХОДИ ПО КМЕТСТВА'!N23</f>
        <v>3930.58</v>
      </c>
      <c r="I39" s="30"/>
      <c r="J39" s="30"/>
      <c r="K39" s="30"/>
      <c r="L39" s="30"/>
      <c r="M39" s="30"/>
      <c r="N39" s="30"/>
      <c r="O39" s="77">
        <f t="shared" si="0"/>
        <v>4775</v>
      </c>
      <c r="P39" s="86">
        <f t="shared" si="1"/>
        <v>6252.53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КМЕТСТВА'!H23+'РАЗХОДИ ПО КМЕТСТВА'!I23+'РАЗХОДИ ПО КМЕТСТВА'!J23+'РАЗХОДИ ПО КМЕТСТВА'!K23</f>
        <v>746.39</v>
      </c>
      <c r="G40" s="30"/>
      <c r="H40" s="30"/>
      <c r="I40" s="30"/>
      <c r="J40" s="30">
        <f>+'РАЗХОДИ ПО КМЕТСТВА'!Y23+'РАЗХОДИ ПО КМЕТСТВА'!AD23</f>
        <v>6683.25</v>
      </c>
      <c r="K40" s="23"/>
      <c r="L40" s="96">
        <f>+'РАЗХОДИ ПО КМЕТСТВА'!Q23</f>
        <v>1396.62</v>
      </c>
      <c r="M40" s="30">
        <v>18109</v>
      </c>
      <c r="N40" s="30">
        <f>+'РАЗХОДИ ПО КМЕТСТВА'!V23+'РАЗХОДИ ПО КМЕТСТВА'!X23</f>
        <v>16384.01</v>
      </c>
      <c r="O40" s="77">
        <f t="shared" si="0"/>
        <v>18629</v>
      </c>
      <c r="P40" s="86">
        <f>D40+F40+H40+L40+N40+J40</f>
        <v>25210.269999999997</v>
      </c>
    </row>
    <row r="41" spans="1:16" ht="15.75">
      <c r="A41" s="29" t="s">
        <v>31</v>
      </c>
      <c r="B41" s="26" t="s">
        <v>13</v>
      </c>
      <c r="C41" s="30"/>
      <c r="D41" s="30"/>
      <c r="E41" s="24">
        <v>6129</v>
      </c>
      <c r="F41" s="24"/>
      <c r="G41" s="24"/>
      <c r="H41" s="24"/>
      <c r="I41" s="24"/>
      <c r="J41" s="24"/>
      <c r="K41" s="23"/>
      <c r="L41" s="23"/>
      <c r="M41" s="23"/>
      <c r="N41" s="23"/>
      <c r="O41" s="77">
        <f t="shared" si="0"/>
        <v>6129</v>
      </c>
      <c r="P41" s="86">
        <f>D41+F41+H41+L41+N41</f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540</v>
      </c>
      <c r="F42" s="30">
        <f>+'РАЗХОДИ ПО КМЕТСТВА'!M23</f>
        <v>430</v>
      </c>
      <c r="G42" s="30"/>
      <c r="H42" s="30"/>
      <c r="I42" s="30"/>
      <c r="J42" s="30"/>
      <c r="K42" s="23"/>
      <c r="L42" s="23"/>
      <c r="M42" s="23"/>
      <c r="N42" s="23"/>
      <c r="O42" s="77">
        <f t="shared" si="0"/>
        <v>540</v>
      </c>
      <c r="P42" s="86">
        <f t="shared" si="1"/>
        <v>430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77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77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N45">SUM(C25:C44)</f>
        <v>19673.6844</v>
      </c>
      <c r="D45" s="54">
        <f t="shared" si="2"/>
        <v>21974.308505999998</v>
      </c>
      <c r="E45" s="54">
        <f t="shared" si="2"/>
        <v>8455.8</v>
      </c>
      <c r="F45" s="54">
        <f t="shared" si="2"/>
        <v>3754.4999999999995</v>
      </c>
      <c r="G45" s="54">
        <f t="shared" si="2"/>
        <v>3735</v>
      </c>
      <c r="H45" s="54">
        <f t="shared" si="2"/>
        <v>3930.58</v>
      </c>
      <c r="I45" s="54">
        <f t="shared" si="2"/>
        <v>0</v>
      </c>
      <c r="J45" s="54">
        <f t="shared" si="2"/>
        <v>6683.25</v>
      </c>
      <c r="K45" s="54">
        <f t="shared" si="2"/>
        <v>400</v>
      </c>
      <c r="L45" s="54">
        <f t="shared" si="2"/>
        <v>1423.62</v>
      </c>
      <c r="M45" s="54">
        <f t="shared" si="2"/>
        <v>18109</v>
      </c>
      <c r="N45" s="54">
        <f t="shared" si="2"/>
        <v>16384.01</v>
      </c>
      <c r="O45" s="90">
        <f>SUM(O25:O44)</f>
        <v>50373.4844</v>
      </c>
      <c r="P45" s="90">
        <f>SUM(P25:P44)</f>
        <v>54150.26850599999</v>
      </c>
    </row>
    <row r="46" ht="6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105"/>
      <c r="P48" s="92">
        <f>'РАЗХОДИ ПО КМЕТСТВА'!AH23-Вехтово!P45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6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  <c r="P50" s="92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5.2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7.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C22:E22"/>
    <mergeCell ref="B22:B23"/>
    <mergeCell ref="C23:D23"/>
    <mergeCell ref="E23:F23"/>
    <mergeCell ref="G23:H23"/>
    <mergeCell ref="O22:P23"/>
    <mergeCell ref="K23:L23"/>
    <mergeCell ref="M23:N23"/>
    <mergeCell ref="K22:L22"/>
    <mergeCell ref="M22:N22"/>
    <mergeCell ref="G22:H22"/>
    <mergeCell ref="H8:M8"/>
    <mergeCell ref="H9:M9"/>
    <mergeCell ref="I22:J22"/>
    <mergeCell ref="I23:J23"/>
  </mergeCells>
  <printOptions/>
  <pageMargins left="0.3937007874015748" right="0.2362204724409449" top="0" bottom="0" header="0.31496062992125984" footer="0.31496062992125984"/>
  <pageSetup fitToWidth="0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6">
      <selection activeCell="N50" sqref="N50"/>
    </sheetView>
  </sheetViews>
  <sheetFormatPr defaultColWidth="9.140625" defaultRowHeight="12.75"/>
  <cols>
    <col min="1" max="1" width="38.57421875" style="0" customWidth="1"/>
    <col min="2" max="2" width="13.7109375" style="3" customWidth="1"/>
    <col min="3" max="3" width="11.7109375" style="8" customWidth="1"/>
    <col min="4" max="4" width="12.57421875" style="8" customWidth="1"/>
    <col min="5" max="5" width="12.00390625" style="8" customWidth="1"/>
    <col min="6" max="6" width="12.8515625" style="8" customWidth="1"/>
    <col min="7" max="7" width="11.28125" style="8" customWidth="1"/>
    <col min="8" max="10" width="13.57421875" style="8" customWidth="1"/>
    <col min="11" max="11" width="10.00390625" style="0" customWidth="1"/>
    <col min="12" max="12" width="12.8515625" style="0" customWidth="1"/>
    <col min="13" max="13" width="10.57421875" style="0" customWidth="1"/>
    <col min="14" max="14" width="12.421875" style="0" customWidth="1"/>
    <col min="15" max="15" width="10.8515625" style="0" bestFit="1" customWidth="1"/>
    <col min="16" max="16" width="13.7109375" style="0" customWidth="1"/>
    <col min="20" max="20" width="11.57421875" style="0" bestFit="1" customWidth="1"/>
  </cols>
  <sheetData>
    <row r="1" ht="18">
      <c r="A1" s="56"/>
    </row>
    <row r="2" spans="1:15" ht="15.75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5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1" customHeight="1">
      <c r="A6" s="13" t="s">
        <v>45</v>
      </c>
      <c r="B6" s="5"/>
      <c r="C6" s="9"/>
      <c r="D6" s="9"/>
      <c r="E6" s="9"/>
      <c r="F6" s="9"/>
      <c r="G6" s="9"/>
      <c r="H6" s="9">
        <v>2018</v>
      </c>
      <c r="I6" s="9"/>
      <c r="J6" s="9"/>
      <c r="K6" s="9"/>
      <c r="L6" s="9"/>
      <c r="M6" s="9"/>
      <c r="N6" s="9"/>
      <c r="O6" s="9"/>
    </row>
    <row r="7" spans="1:15" ht="8.25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747</v>
      </c>
      <c r="O8" s="9"/>
    </row>
    <row r="9" spans="1:15" ht="19.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29265</v>
      </c>
      <c r="D10" s="23">
        <v>14738</v>
      </c>
      <c r="E10" s="23">
        <f>SUM(C10:D10)</f>
        <v>44003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18404</v>
      </c>
      <c r="D12" s="23">
        <f>SUM(D13:D14)</f>
        <v>10001</v>
      </c>
      <c r="E12" s="23">
        <f>SUM(C12:D12)</f>
        <v>28405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18404</v>
      </c>
      <c r="D13" s="23">
        <v>10001</v>
      </c>
      <c r="E13" s="23">
        <f>SUM(C13:D13)</f>
        <v>28405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34230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47669</v>
      </c>
      <c r="D16" s="53">
        <f>D10+D12</f>
        <v>24739</v>
      </c>
      <c r="E16" s="53">
        <f>E10+E12+E15</f>
        <v>106638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4.5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4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63" customHeight="1">
      <c r="A22" s="141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50.25" customHeight="1">
      <c r="A23" s="141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31.5" customHeight="1">
      <c r="A24" s="71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1.5" customHeight="1">
      <c r="A25" s="29" t="s">
        <v>1</v>
      </c>
      <c r="B25" s="26" t="s">
        <v>17</v>
      </c>
      <c r="C25" s="30">
        <v>18636</v>
      </c>
      <c r="D25" s="30">
        <f>+'РАЗХОДИ ПО КМЕТСТВА'!AF24</f>
        <v>17758.63</v>
      </c>
      <c r="E25" s="30"/>
      <c r="F25" s="76"/>
      <c r="G25" s="30"/>
      <c r="H25" s="76"/>
      <c r="I25" s="76"/>
      <c r="J25" s="76"/>
      <c r="K25" s="30"/>
      <c r="L25" s="76"/>
      <c r="M25" s="30"/>
      <c r="N25" s="76"/>
      <c r="O25" s="33">
        <f>C25+E25+G25+K25+M25</f>
        <v>18636</v>
      </c>
      <c r="P25" s="86">
        <f>D25+F25+H25+L25+N25</f>
        <v>17758.63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7.5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3581.8392</v>
      </c>
      <c r="D31" s="30">
        <f>+'РАЗХОДИ ПО КМЕТСТВА'!AE24</f>
        <v>3413.208686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3581.8392</v>
      </c>
      <c r="P31" s="86">
        <f t="shared" si="1"/>
        <v>3413.208686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>D34+F33+H33+L33+N33</f>
        <v>0</v>
      </c>
    </row>
    <row r="34" spans="1:16" s="2" customFormat="1" ht="15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>D35+F34+H34+L34+N34</f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>D36+F35+H35+L35+N35</f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21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КМЕТСТВА'!F24+'РАЗХОДИ ПО КМЕТСТВА'!G24</f>
        <v>297.58</v>
      </c>
      <c r="G38" s="30"/>
      <c r="H38" s="30"/>
      <c r="I38" s="30"/>
      <c r="J38" s="30"/>
      <c r="K38" s="30"/>
      <c r="L38" s="30">
        <f>+'РАЗХОДИ ПО КМЕТСТВА'!R24</f>
        <v>45</v>
      </c>
      <c r="M38" s="30"/>
      <c r="N38" s="30"/>
      <c r="O38" s="33">
        <f t="shared" si="0"/>
        <v>200</v>
      </c>
      <c r="P38" s="86">
        <f t="shared" si="1"/>
        <v>342.58</v>
      </c>
    </row>
    <row r="39" spans="1:16" s="2" customFormat="1" ht="33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КМЕТСТВА'!C24+'РАЗХОДИ ПО КМЕТСТВА'!D24+'РАЗХОДИ ПО КМЕТСТВА'!E24</f>
        <v>1979.07</v>
      </c>
      <c r="G39" s="30">
        <v>4000</v>
      </c>
      <c r="H39" s="30">
        <f>+'РАЗХОДИ ПО КМЕТСТВА'!N24</f>
        <v>4099.79</v>
      </c>
      <c r="I39" s="30"/>
      <c r="J39" s="30"/>
      <c r="K39" s="30"/>
      <c r="L39" s="30"/>
      <c r="M39" s="30"/>
      <c r="N39" s="30"/>
      <c r="O39" s="33">
        <f t="shared" si="0"/>
        <v>5040</v>
      </c>
      <c r="P39" s="86">
        <f t="shared" si="1"/>
        <v>6078.86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КМЕТСТВА'!H24+'РАЗХОДИ ПО КМЕТСТВА'!I24+'РАЗХОДИ ПО КМЕТСТВА'!J24+'РАЗХОДИ ПО КМЕТСТВА'!K24</f>
        <v>736.8</v>
      </c>
      <c r="G40" s="30"/>
      <c r="H40" s="30"/>
      <c r="I40" s="30"/>
      <c r="J40" s="30">
        <f>+'РАЗХОДИ ПО КМЕТСТВА'!Y24+'РАЗХОДИ ПО КМЕТСТВА'!AD24</f>
        <v>4135.25</v>
      </c>
      <c r="K40" s="23"/>
      <c r="L40" s="96">
        <f>+'РАЗХОДИ ПО КМЕТСТВА'!Q24</f>
        <v>2193</v>
      </c>
      <c r="M40" s="30">
        <v>7642</v>
      </c>
      <c r="N40" s="30">
        <f>+'РАЗХОДИ ПО КМЕТСТВА'!V24+'РАЗХОДИ ПО КМЕТСТВА'!X24</f>
        <v>14933.6</v>
      </c>
      <c r="O40" s="33">
        <f t="shared" si="0"/>
        <v>8162</v>
      </c>
      <c r="P40" s="86">
        <f>D40+F40+H40+L40+N40+J40</f>
        <v>21998.65</v>
      </c>
    </row>
    <row r="41" spans="1:16" ht="15.75">
      <c r="A41" s="29" t="s">
        <v>31</v>
      </c>
      <c r="B41" s="26" t="s">
        <v>13</v>
      </c>
      <c r="C41" s="30"/>
      <c r="D41" s="30"/>
      <c r="E41" s="24">
        <v>6439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6439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400</v>
      </c>
      <c r="F42" s="30">
        <f>+'РАЗХОДИ ПО КМЕТСТВА'!M24</f>
        <v>140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400</v>
      </c>
      <c r="P42" s="86">
        <f t="shared" si="1"/>
        <v>140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N45">SUM(C25:C44)</f>
        <v>22217.8392</v>
      </c>
      <c r="D45" s="54">
        <f t="shared" si="2"/>
        <v>21171.838686000003</v>
      </c>
      <c r="E45" s="54">
        <f t="shared" si="2"/>
        <v>8599</v>
      </c>
      <c r="F45" s="54">
        <f t="shared" si="2"/>
        <v>3153.45</v>
      </c>
      <c r="G45" s="54">
        <f t="shared" si="2"/>
        <v>4000</v>
      </c>
      <c r="H45" s="54">
        <f t="shared" si="2"/>
        <v>4099.79</v>
      </c>
      <c r="I45" s="54">
        <f t="shared" si="2"/>
        <v>0</v>
      </c>
      <c r="J45" s="54">
        <f t="shared" si="2"/>
        <v>4135.25</v>
      </c>
      <c r="K45" s="54">
        <f t="shared" si="2"/>
        <v>400</v>
      </c>
      <c r="L45" s="54">
        <f t="shared" si="2"/>
        <v>2238</v>
      </c>
      <c r="M45" s="54">
        <f t="shared" si="2"/>
        <v>7642</v>
      </c>
      <c r="N45" s="54">
        <f t="shared" si="2"/>
        <v>14933.6</v>
      </c>
      <c r="O45" s="87">
        <f>SUM(O25:O44)</f>
        <v>42858.8392</v>
      </c>
      <c r="P45" s="87">
        <f>SUM(P25:P44)</f>
        <v>49731.92868600001</v>
      </c>
    </row>
    <row r="46" ht="4.5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108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КМЕТСТВА'!AH24-Градище!P45</f>
        <v>0</v>
      </c>
    </row>
    <row r="49" spans="1:14" ht="15.75">
      <c r="A49" s="47"/>
      <c r="B49" s="39"/>
      <c r="C49" s="40"/>
      <c r="D49" s="40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5.75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5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9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8.25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A2:O2"/>
    <mergeCell ref="A3:O3"/>
    <mergeCell ref="A21:O21"/>
    <mergeCell ref="A22:A23"/>
    <mergeCell ref="B22:B23"/>
    <mergeCell ref="C22:F22"/>
    <mergeCell ref="G22:H22"/>
    <mergeCell ref="K22:L22"/>
    <mergeCell ref="O22:P23"/>
    <mergeCell ref="M22:N22"/>
    <mergeCell ref="H8:M8"/>
    <mergeCell ref="H9:M9"/>
    <mergeCell ref="C23:D23"/>
    <mergeCell ref="E23:F23"/>
    <mergeCell ref="G23:H23"/>
    <mergeCell ref="K23:L23"/>
    <mergeCell ref="M23:N23"/>
    <mergeCell ref="I22:J22"/>
    <mergeCell ref="I23:J23"/>
  </mergeCells>
  <printOptions/>
  <pageMargins left="0.5118110236220472" right="0.15748031496062992" top="0" bottom="0.2755905511811024" header="0.31496062992125984" footer="0.2755905511811024"/>
  <pageSetup fitToWidth="0" fitToHeight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B30">
      <selection activeCell="D32" sqref="D32"/>
    </sheetView>
  </sheetViews>
  <sheetFormatPr defaultColWidth="9.140625" defaultRowHeight="12.75"/>
  <cols>
    <col min="1" max="1" width="38.7109375" style="0" customWidth="1"/>
    <col min="2" max="2" width="13.140625" style="3" customWidth="1"/>
    <col min="3" max="3" width="10.8515625" style="8" customWidth="1"/>
    <col min="4" max="4" width="13.140625" style="8" customWidth="1"/>
    <col min="5" max="5" width="12.140625" style="8" customWidth="1"/>
    <col min="6" max="6" width="11.140625" style="8" customWidth="1"/>
    <col min="7" max="7" width="11.00390625" style="8" customWidth="1"/>
    <col min="8" max="10" width="12.57421875" style="8" customWidth="1"/>
    <col min="11" max="11" width="9.7109375" style="0" customWidth="1"/>
    <col min="12" max="12" width="13.28125" style="0" customWidth="1"/>
    <col min="13" max="13" width="12.7109375" style="0" customWidth="1"/>
    <col min="14" max="14" width="13.00390625" style="0" customWidth="1"/>
    <col min="15" max="15" width="10.8515625" style="0" bestFit="1" customWidth="1"/>
    <col min="16" max="16" width="14.421875" style="0" customWidth="1"/>
    <col min="20" max="20" width="11.57421875" style="0" bestFit="1" customWidth="1"/>
  </cols>
  <sheetData>
    <row r="1" ht="32.25" customHeight="1">
      <c r="A1" s="56"/>
    </row>
    <row r="2" spans="1:15" ht="15.75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107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.75" customHeight="1">
      <c r="A6" s="13" t="s">
        <v>45</v>
      </c>
      <c r="B6" s="5"/>
      <c r="C6" s="9"/>
      <c r="D6" s="9"/>
      <c r="E6" s="9"/>
      <c r="F6" s="9"/>
      <c r="G6" s="9"/>
      <c r="H6" s="9"/>
      <c r="I6" s="9">
        <v>2018</v>
      </c>
      <c r="J6" s="9"/>
      <c r="K6" s="9"/>
      <c r="L6" s="9"/>
      <c r="M6" s="9"/>
      <c r="N6" s="9"/>
      <c r="O6" s="9"/>
    </row>
    <row r="7" spans="1:15" ht="6" customHeight="1">
      <c r="A7" s="9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>
      <c r="A8" s="12" t="s">
        <v>57</v>
      </c>
      <c r="B8" s="7" t="s">
        <v>0</v>
      </c>
      <c r="C8" s="12" t="s">
        <v>101</v>
      </c>
      <c r="D8" s="12" t="s">
        <v>102</v>
      </c>
      <c r="E8" s="12" t="s">
        <v>103</v>
      </c>
      <c r="F8" s="12" t="s">
        <v>67</v>
      </c>
      <c r="G8" s="9"/>
      <c r="H8" s="143" t="s">
        <v>98</v>
      </c>
      <c r="I8" s="143"/>
      <c r="J8" s="143"/>
      <c r="K8" s="143"/>
      <c r="L8" s="143"/>
      <c r="M8" s="143"/>
      <c r="N8" s="12">
        <v>1082</v>
      </c>
      <c r="O8" s="9"/>
    </row>
    <row r="9" spans="1:15" ht="20.25" customHeight="1">
      <c r="A9" s="14" t="s">
        <v>55</v>
      </c>
      <c r="B9" s="4"/>
      <c r="C9" s="12"/>
      <c r="D9" s="12"/>
      <c r="E9" s="12"/>
      <c r="F9" s="12"/>
      <c r="G9" s="9"/>
      <c r="H9" s="144" t="s">
        <v>99</v>
      </c>
      <c r="I9" s="144"/>
      <c r="J9" s="144"/>
      <c r="K9" s="144"/>
      <c r="L9" s="144"/>
      <c r="M9" s="144"/>
      <c r="N9" s="12">
        <v>2</v>
      </c>
      <c r="O9" s="9"/>
    </row>
    <row r="10" spans="1:15" ht="15.75">
      <c r="A10" s="11" t="s">
        <v>46</v>
      </c>
      <c r="B10" s="4" t="s">
        <v>47</v>
      </c>
      <c r="C10" s="23">
        <v>30900</v>
      </c>
      <c r="D10" s="23">
        <v>42037</v>
      </c>
      <c r="E10" s="23">
        <f>SUM(C10:D10)</f>
        <v>72937</v>
      </c>
      <c r="F10" s="23"/>
      <c r="G10" s="9"/>
      <c r="H10" s="9"/>
      <c r="I10" s="9"/>
      <c r="J10" s="9"/>
      <c r="K10" s="9"/>
      <c r="L10" s="9"/>
      <c r="M10" s="9"/>
      <c r="N10" s="9"/>
      <c r="O10" s="9"/>
    </row>
    <row r="11" spans="1:15" ht="18" customHeight="1">
      <c r="A11" s="14" t="s">
        <v>56</v>
      </c>
      <c r="B11" s="12"/>
      <c r="C11" s="23"/>
      <c r="D11" s="23"/>
      <c r="E11" s="23"/>
      <c r="F11" s="23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4" t="s">
        <v>50</v>
      </c>
      <c r="B12" s="16" t="s">
        <v>54</v>
      </c>
      <c r="C12" s="23">
        <f>SUM(C13:C14)</f>
        <v>40732</v>
      </c>
      <c r="D12" s="23">
        <f>SUM(D13:D14)</f>
        <v>26462</v>
      </c>
      <c r="E12" s="23">
        <f>SUM(C12:D12)</f>
        <v>67194</v>
      </c>
      <c r="F12" s="23">
        <f>SUM(F13:F14)</f>
        <v>0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>
      <c r="A13" s="11" t="s">
        <v>51</v>
      </c>
      <c r="B13" s="16" t="s">
        <v>52</v>
      </c>
      <c r="C13" s="23">
        <v>40732</v>
      </c>
      <c r="D13" s="23">
        <v>26462</v>
      </c>
      <c r="E13" s="23">
        <f>SUM(C13:D13)</f>
        <v>67194</v>
      </c>
      <c r="F13" s="23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11" t="s">
        <v>49</v>
      </c>
      <c r="B14" s="16" t="s">
        <v>53</v>
      </c>
      <c r="C14" s="23"/>
      <c r="D14" s="23"/>
      <c r="E14" s="23"/>
      <c r="F14" s="23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11"/>
      <c r="B15" s="16" t="s">
        <v>109</v>
      </c>
      <c r="C15" s="23"/>
      <c r="D15" s="23"/>
      <c r="E15" s="23">
        <v>25723</v>
      </c>
      <c r="F15" s="23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15.75">
      <c r="A16" s="12" t="s">
        <v>58</v>
      </c>
      <c r="B16" s="12"/>
      <c r="C16" s="53">
        <f>C10+C12</f>
        <v>71632</v>
      </c>
      <c r="D16" s="53">
        <f>D10+D12</f>
        <v>68499</v>
      </c>
      <c r="E16" s="53">
        <f>E10+E12+E15</f>
        <v>165854</v>
      </c>
      <c r="F16" s="53">
        <f>F10+F12</f>
        <v>0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5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6" customHeight="1">
      <c r="A18" s="9"/>
      <c r="B18" s="9"/>
      <c r="C18" s="9"/>
      <c r="D18" s="9"/>
      <c r="E18" s="9"/>
      <c r="F18" s="9"/>
      <c r="G18" s="10"/>
      <c r="H18" s="10"/>
      <c r="I18" s="10"/>
      <c r="J18" s="10"/>
      <c r="K18" s="9"/>
      <c r="L18" s="9"/>
      <c r="M18" s="9"/>
      <c r="N18" s="9"/>
      <c r="O18" s="9"/>
    </row>
    <row r="19" spans="1:15" ht="8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13" t="s">
        <v>48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16" ht="78" customHeight="1">
      <c r="A22" s="141" t="s">
        <v>38</v>
      </c>
      <c r="B22" s="142" t="s">
        <v>0</v>
      </c>
      <c r="C22" s="153" t="s">
        <v>63</v>
      </c>
      <c r="D22" s="154"/>
      <c r="E22" s="154"/>
      <c r="F22" s="155"/>
      <c r="G22" s="161" t="s">
        <v>42</v>
      </c>
      <c r="H22" s="162"/>
      <c r="I22" s="161" t="s">
        <v>100</v>
      </c>
      <c r="J22" s="162"/>
      <c r="K22" s="161" t="s">
        <v>43</v>
      </c>
      <c r="L22" s="162"/>
      <c r="M22" s="153" t="s">
        <v>44</v>
      </c>
      <c r="N22" s="155"/>
      <c r="O22" s="149" t="s">
        <v>60</v>
      </c>
      <c r="P22" s="150"/>
    </row>
    <row r="23" spans="1:16" s="1" customFormat="1" ht="48" customHeight="1">
      <c r="A23" s="141"/>
      <c r="B23" s="142"/>
      <c r="C23" s="167" t="s">
        <v>39</v>
      </c>
      <c r="D23" s="168"/>
      <c r="E23" s="147" t="s">
        <v>40</v>
      </c>
      <c r="F23" s="148"/>
      <c r="G23" s="147" t="s">
        <v>40</v>
      </c>
      <c r="H23" s="148"/>
      <c r="I23" s="147" t="s">
        <v>40</v>
      </c>
      <c r="J23" s="148"/>
      <c r="K23" s="147" t="s">
        <v>40</v>
      </c>
      <c r="L23" s="148"/>
      <c r="M23" s="147" t="s">
        <v>40</v>
      </c>
      <c r="N23" s="148"/>
      <c r="O23" s="151"/>
      <c r="P23" s="152"/>
    </row>
    <row r="24" spans="1:16" s="1" customFormat="1" ht="29.25" customHeight="1">
      <c r="A24" s="71"/>
      <c r="B24" s="72"/>
      <c r="C24" s="94" t="s">
        <v>104</v>
      </c>
      <c r="D24" s="95" t="s">
        <v>105</v>
      </c>
      <c r="E24" s="94" t="s">
        <v>104</v>
      </c>
      <c r="F24" s="95" t="s">
        <v>106</v>
      </c>
      <c r="G24" s="94" t="s">
        <v>104</v>
      </c>
      <c r="H24" s="95" t="s">
        <v>106</v>
      </c>
      <c r="I24" s="94" t="s">
        <v>104</v>
      </c>
      <c r="J24" s="95" t="s">
        <v>106</v>
      </c>
      <c r="K24" s="94" t="s">
        <v>104</v>
      </c>
      <c r="L24" s="95" t="s">
        <v>106</v>
      </c>
      <c r="M24" s="94" t="s">
        <v>104</v>
      </c>
      <c r="N24" s="95" t="s">
        <v>106</v>
      </c>
      <c r="O24" s="94" t="s">
        <v>104</v>
      </c>
      <c r="P24" s="95" t="s">
        <v>106</v>
      </c>
    </row>
    <row r="25" spans="1:16" s="2" customFormat="1" ht="34.5" customHeight="1">
      <c r="A25" s="29" t="s">
        <v>1</v>
      </c>
      <c r="B25" s="26" t="s">
        <v>17</v>
      </c>
      <c r="C25" s="76">
        <v>18648</v>
      </c>
      <c r="D25" s="76">
        <f>+'РАЗХОДИ ПО КМЕТСТВА'!AF26</f>
        <v>20425.82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3">
        <f>C25+E25+G25+K25+M25</f>
        <v>18648</v>
      </c>
      <c r="P25" s="86">
        <f>D25+F25+H25+L25+N25</f>
        <v>20425.82</v>
      </c>
    </row>
    <row r="26" spans="1:16" s="2" customFormat="1" ht="30">
      <c r="A26" s="29" t="s">
        <v>24</v>
      </c>
      <c r="B26" s="26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3">
        <f aca="true" t="shared" si="0" ref="O26:O44">C26+E26+G26+K26+M26</f>
        <v>0</v>
      </c>
      <c r="P26" s="86">
        <f aca="true" t="shared" si="1" ref="P26:P44">D26+F26+H26+L26+N26</f>
        <v>0</v>
      </c>
    </row>
    <row r="27" spans="1:16" s="2" customFormat="1" ht="36" customHeight="1">
      <c r="A27" s="29" t="s">
        <v>32</v>
      </c>
      <c r="B27" s="26" t="s">
        <v>26</v>
      </c>
      <c r="C27" s="30"/>
      <c r="D27" s="30"/>
      <c r="E27" s="30"/>
      <c r="F27" s="30"/>
      <c r="G27" s="30"/>
      <c r="H27" s="30"/>
      <c r="I27" s="30"/>
      <c r="J27" s="30"/>
      <c r="K27" s="30">
        <v>400</v>
      </c>
      <c r="L27" s="30"/>
      <c r="M27" s="30"/>
      <c r="N27" s="30"/>
      <c r="O27" s="33">
        <f t="shared" si="0"/>
        <v>400</v>
      </c>
      <c r="P27" s="86">
        <f t="shared" si="1"/>
        <v>0</v>
      </c>
    </row>
    <row r="28" spans="1:16" s="2" customFormat="1" ht="15">
      <c r="A28" s="29" t="s">
        <v>28</v>
      </c>
      <c r="B28" s="26" t="s">
        <v>27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>
        <f t="shared" si="0"/>
        <v>0</v>
      </c>
      <c r="P28" s="86">
        <f t="shared" si="1"/>
        <v>0</v>
      </c>
    </row>
    <row r="29" spans="1:16" s="2" customFormat="1" ht="30">
      <c r="A29" s="29" t="s">
        <v>36</v>
      </c>
      <c r="B29" s="26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3">
        <f t="shared" si="0"/>
        <v>0</v>
      </c>
      <c r="P29" s="86">
        <f t="shared" si="1"/>
        <v>0</v>
      </c>
    </row>
    <row r="30" spans="1:16" s="2" customFormat="1" ht="30">
      <c r="A30" s="29" t="s">
        <v>35</v>
      </c>
      <c r="B30" s="26" t="s">
        <v>34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3">
        <f t="shared" si="0"/>
        <v>0</v>
      </c>
      <c r="P30" s="86">
        <f t="shared" si="1"/>
        <v>0</v>
      </c>
    </row>
    <row r="31" spans="1:16" s="2" customFormat="1" ht="30">
      <c r="A31" s="29" t="s">
        <v>18</v>
      </c>
      <c r="B31" s="26" t="s">
        <v>4</v>
      </c>
      <c r="C31" s="30">
        <f>C25*19.22/100</f>
        <v>3584.1456</v>
      </c>
      <c r="D31" s="30">
        <f>+'РАЗХОДИ ПО КМЕТСТВА'!AE26</f>
        <v>3925.8426039999995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3">
        <f t="shared" si="0"/>
        <v>3584.1456</v>
      </c>
      <c r="P31" s="86">
        <f t="shared" si="1"/>
        <v>3925.8426039999995</v>
      </c>
    </row>
    <row r="32" spans="1:16" s="2" customFormat="1" ht="15">
      <c r="A32" s="29" t="s">
        <v>19</v>
      </c>
      <c r="B32" s="26" t="s">
        <v>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3">
        <f t="shared" si="0"/>
        <v>0</v>
      </c>
      <c r="P32" s="86">
        <f t="shared" si="1"/>
        <v>0</v>
      </c>
    </row>
    <row r="33" spans="1:16" s="2" customFormat="1" ht="15">
      <c r="A33" s="29" t="s">
        <v>20</v>
      </c>
      <c r="B33" s="26" t="s">
        <v>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3">
        <f t="shared" si="0"/>
        <v>0</v>
      </c>
      <c r="P33" s="86">
        <f t="shared" si="1"/>
        <v>0</v>
      </c>
    </row>
    <row r="34" spans="1:16" s="2" customFormat="1" ht="21.75" customHeight="1">
      <c r="A34" s="29" t="s">
        <v>21</v>
      </c>
      <c r="B34" s="26" t="s">
        <v>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3">
        <f t="shared" si="0"/>
        <v>0</v>
      </c>
      <c r="P34" s="86">
        <f t="shared" si="1"/>
        <v>0</v>
      </c>
    </row>
    <row r="35" spans="1:16" s="2" customFormat="1" ht="30">
      <c r="A35" s="29" t="s">
        <v>22</v>
      </c>
      <c r="B35" s="26" t="s">
        <v>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3">
        <f t="shared" si="0"/>
        <v>0</v>
      </c>
      <c r="P35" s="86">
        <f t="shared" si="1"/>
        <v>0</v>
      </c>
    </row>
    <row r="36" spans="1:16" s="2" customFormat="1" ht="15">
      <c r="A36" s="29" t="s">
        <v>23</v>
      </c>
      <c r="B36" s="26" t="s">
        <v>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>
        <f t="shared" si="0"/>
        <v>0</v>
      </c>
      <c r="P36" s="86">
        <f t="shared" si="1"/>
        <v>0</v>
      </c>
    </row>
    <row r="37" spans="1:16" s="2" customFormat="1" ht="15.75" customHeight="1">
      <c r="A37" s="29" t="s">
        <v>29</v>
      </c>
      <c r="B37" s="26" t="s">
        <v>16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>
        <f t="shared" si="0"/>
        <v>0</v>
      </c>
      <c r="P37" s="86">
        <f t="shared" si="1"/>
        <v>0</v>
      </c>
    </row>
    <row r="38" spans="1:16" s="2" customFormat="1" ht="15">
      <c r="A38" s="29" t="s">
        <v>30</v>
      </c>
      <c r="B38" s="26" t="s">
        <v>10</v>
      </c>
      <c r="C38" s="30"/>
      <c r="D38" s="30"/>
      <c r="E38" s="30">
        <v>200</v>
      </c>
      <c r="F38" s="30">
        <f>+'РАЗХОДИ ПО КМЕТСТВА'!F26+'РАЗХОДИ ПО КМЕТСТВА'!G26</f>
        <v>249.6</v>
      </c>
      <c r="G38" s="30"/>
      <c r="H38" s="30"/>
      <c r="I38" s="30"/>
      <c r="J38" s="30"/>
      <c r="K38" s="30"/>
      <c r="L38" s="30">
        <f>+'РАЗХОДИ ПО КМЕТСТВА'!R26</f>
        <v>45</v>
      </c>
      <c r="M38" s="30"/>
      <c r="N38" s="30"/>
      <c r="O38" s="33">
        <f t="shared" si="0"/>
        <v>200</v>
      </c>
      <c r="P38" s="86">
        <f t="shared" si="1"/>
        <v>294.6</v>
      </c>
    </row>
    <row r="39" spans="1:16" s="2" customFormat="1" ht="33" customHeight="1">
      <c r="A39" s="29" t="s">
        <v>62</v>
      </c>
      <c r="B39" s="26" t="s">
        <v>11</v>
      </c>
      <c r="C39" s="30"/>
      <c r="D39" s="30"/>
      <c r="E39" s="30">
        <v>1040</v>
      </c>
      <c r="F39" s="30">
        <f>+'РАЗХОДИ ПО КМЕТСТВА'!C26+'РАЗХОДИ ПО КМЕТСТВА'!D26+'РАЗХОДИ ПО КМЕТСТВА'!E26</f>
        <v>2436.98</v>
      </c>
      <c r="G39" s="30">
        <v>6022</v>
      </c>
      <c r="H39" s="30">
        <f>+'РАЗХОДИ ПО КМЕТСТВА'!N26</f>
        <v>6090.11</v>
      </c>
      <c r="I39" s="30"/>
      <c r="J39" s="30"/>
      <c r="K39" s="30"/>
      <c r="L39" s="30"/>
      <c r="M39" s="30"/>
      <c r="N39" s="30"/>
      <c r="O39" s="33">
        <f t="shared" si="0"/>
        <v>7062</v>
      </c>
      <c r="P39" s="86">
        <f t="shared" si="1"/>
        <v>8527.09</v>
      </c>
    </row>
    <row r="40" spans="1:16" ht="30">
      <c r="A40" s="29" t="s">
        <v>61</v>
      </c>
      <c r="B40" s="26" t="s">
        <v>12</v>
      </c>
      <c r="C40" s="30"/>
      <c r="D40" s="30"/>
      <c r="E40" s="30">
        <v>520</v>
      </c>
      <c r="F40" s="30">
        <f>+'РАЗХОДИ ПО КМЕТСТВА'!H26+'РАЗХОДИ ПО КМЕТСТВА'!I26+'РАЗХОДИ ПО КМЕТСТВА'!J26+'РАЗХОДИ ПО КМЕТСТВА'!L26+'РАЗХОДИ ПО КМЕТСТВА'!K26</f>
        <v>1008.72</v>
      </c>
      <c r="G40" s="30"/>
      <c r="H40" s="30"/>
      <c r="I40" s="30"/>
      <c r="J40" s="30">
        <f>+'РАЗХОДИ ПО КМЕТСТВА'!Y26</f>
        <v>2215.37</v>
      </c>
      <c r="K40" s="23"/>
      <c r="L40" s="96">
        <f>+'РАЗХОДИ ПО КМЕТСТВА'!Q26</f>
        <v>2274</v>
      </c>
      <c r="M40" s="30">
        <v>46708</v>
      </c>
      <c r="N40" s="30">
        <f>+'РАЗХОДИ ПО КМЕТСТВА'!V26+'РАЗХОДИ ПО КМЕТСТВА'!X26</f>
        <v>51884.68</v>
      </c>
      <c r="O40" s="33">
        <f t="shared" si="0"/>
        <v>47228</v>
      </c>
      <c r="P40" s="86">
        <f>D40+F40+H40+L40+N40+J40</f>
        <v>57382.770000000004</v>
      </c>
    </row>
    <row r="41" spans="1:16" ht="15.75">
      <c r="A41" s="29" t="s">
        <v>31</v>
      </c>
      <c r="B41" s="26" t="s">
        <v>13</v>
      </c>
      <c r="C41" s="30"/>
      <c r="D41" s="30"/>
      <c r="E41" s="24">
        <v>9327</v>
      </c>
      <c r="F41" s="24"/>
      <c r="G41" s="24"/>
      <c r="H41" s="24"/>
      <c r="I41" s="24"/>
      <c r="J41" s="24"/>
      <c r="K41" s="23"/>
      <c r="L41" s="23"/>
      <c r="M41" s="23"/>
      <c r="N41" s="23"/>
      <c r="O41" s="33">
        <f t="shared" si="0"/>
        <v>9327</v>
      </c>
      <c r="P41" s="86">
        <f t="shared" si="1"/>
        <v>0</v>
      </c>
    </row>
    <row r="42" spans="1:16" ht="15">
      <c r="A42" s="29" t="s">
        <v>65</v>
      </c>
      <c r="B42" s="26" t="s">
        <v>15</v>
      </c>
      <c r="C42" s="30"/>
      <c r="D42" s="30"/>
      <c r="E42" s="30">
        <v>240</v>
      </c>
      <c r="F42" s="30">
        <f>+'РАЗХОДИ ПО КМЕТСТВА'!M26</f>
        <v>30</v>
      </c>
      <c r="G42" s="30"/>
      <c r="H42" s="30"/>
      <c r="I42" s="30"/>
      <c r="J42" s="30"/>
      <c r="K42" s="23"/>
      <c r="L42" s="23"/>
      <c r="M42" s="23"/>
      <c r="N42" s="23"/>
      <c r="O42" s="33">
        <f t="shared" si="0"/>
        <v>240</v>
      </c>
      <c r="P42" s="86">
        <f t="shared" si="1"/>
        <v>30</v>
      </c>
    </row>
    <row r="43" spans="1:16" ht="15">
      <c r="A43" s="29" t="s">
        <v>2</v>
      </c>
      <c r="B43" s="26"/>
      <c r="C43" s="30"/>
      <c r="D43" s="30"/>
      <c r="E43" s="30"/>
      <c r="F43" s="30"/>
      <c r="G43" s="30"/>
      <c r="H43" s="30"/>
      <c r="I43" s="30"/>
      <c r="J43" s="30"/>
      <c r="K43" s="23"/>
      <c r="L43" s="23"/>
      <c r="M43" s="23"/>
      <c r="N43" s="23"/>
      <c r="O43" s="33">
        <f t="shared" si="0"/>
        <v>0</v>
      </c>
      <c r="P43" s="86">
        <f t="shared" si="1"/>
        <v>0</v>
      </c>
    </row>
    <row r="44" spans="1:16" ht="15">
      <c r="A44" s="29" t="s">
        <v>3</v>
      </c>
      <c r="B44" s="26" t="s">
        <v>14</v>
      </c>
      <c r="C44" s="30"/>
      <c r="D44" s="30"/>
      <c r="E44" s="30"/>
      <c r="F44" s="30"/>
      <c r="G44" s="30"/>
      <c r="H44" s="30"/>
      <c r="I44" s="30"/>
      <c r="J44" s="30"/>
      <c r="K44" s="23"/>
      <c r="L44" s="23"/>
      <c r="M44" s="23"/>
      <c r="N44" s="23"/>
      <c r="O44" s="33">
        <f t="shared" si="0"/>
        <v>0</v>
      </c>
      <c r="P44" s="86">
        <f t="shared" si="1"/>
        <v>0</v>
      </c>
    </row>
    <row r="45" spans="1:16" ht="15.75">
      <c r="A45" s="36" t="s">
        <v>59</v>
      </c>
      <c r="B45" s="26"/>
      <c r="C45" s="54">
        <f aca="true" t="shared" si="2" ref="C45:O45">SUM(C25:C44)</f>
        <v>22232.1456</v>
      </c>
      <c r="D45" s="54">
        <f t="shared" si="2"/>
        <v>24351.662603999997</v>
      </c>
      <c r="E45" s="54">
        <f t="shared" si="2"/>
        <v>11327</v>
      </c>
      <c r="F45" s="54">
        <f t="shared" si="2"/>
        <v>3725.3</v>
      </c>
      <c r="G45" s="54">
        <f t="shared" si="2"/>
        <v>6022</v>
      </c>
      <c r="H45" s="54">
        <f t="shared" si="2"/>
        <v>6090.11</v>
      </c>
      <c r="I45" s="54">
        <f t="shared" si="2"/>
        <v>0</v>
      </c>
      <c r="J45" s="54">
        <f t="shared" si="2"/>
        <v>2215.37</v>
      </c>
      <c r="K45" s="54">
        <f t="shared" si="2"/>
        <v>400</v>
      </c>
      <c r="L45" s="54">
        <f t="shared" si="2"/>
        <v>2319</v>
      </c>
      <c r="M45" s="54">
        <f t="shared" si="2"/>
        <v>46708</v>
      </c>
      <c r="N45" s="54">
        <f t="shared" si="2"/>
        <v>51884.68</v>
      </c>
      <c r="O45" s="38">
        <f t="shared" si="2"/>
        <v>86689.1456</v>
      </c>
      <c r="P45" s="38">
        <f>SUM(P25:P44)</f>
        <v>90586.122604</v>
      </c>
    </row>
    <row r="46" ht="4.5" customHeight="1"/>
    <row r="47" spans="1:14" ht="15">
      <c r="A47" s="27"/>
      <c r="B47" s="39"/>
      <c r="C47" s="40"/>
      <c r="D47" s="40"/>
      <c r="E47" s="40"/>
      <c r="F47" s="40"/>
      <c r="G47" s="40"/>
      <c r="H47" s="40"/>
      <c r="I47" s="40"/>
      <c r="J47" s="40"/>
      <c r="K47" s="27"/>
      <c r="L47" s="27"/>
      <c r="M47" s="27"/>
      <c r="N47" s="27"/>
    </row>
    <row r="48" spans="1:16" ht="15">
      <c r="A48" s="27"/>
      <c r="B48" s="39"/>
      <c r="C48" s="40"/>
      <c r="D48" s="40"/>
      <c r="E48" s="40"/>
      <c r="F48" s="40"/>
      <c r="G48" s="40"/>
      <c r="H48" s="40"/>
      <c r="I48" s="40"/>
      <c r="J48" s="40"/>
      <c r="K48" s="27"/>
      <c r="L48" s="27"/>
      <c r="M48" s="27"/>
      <c r="N48" s="27"/>
      <c r="P48" s="92">
        <f>'РАЗХОДИ ПО КМЕТСТВА'!AH26-Дибич!P45</f>
        <v>0</v>
      </c>
    </row>
    <row r="49" spans="1:14" ht="15.75">
      <c r="A49" s="47"/>
      <c r="B49" s="39"/>
      <c r="C49" s="40"/>
      <c r="D49" s="108"/>
      <c r="E49" s="40"/>
      <c r="F49" s="40"/>
      <c r="G49" s="40"/>
      <c r="H49" s="40"/>
      <c r="I49" s="40"/>
      <c r="J49" s="40"/>
      <c r="K49" s="27"/>
      <c r="L49" s="27"/>
      <c r="M49" s="27"/>
      <c r="N49" s="27"/>
    </row>
    <row r="50" spans="1:14" ht="17.25" customHeight="1">
      <c r="A50" s="41"/>
      <c r="B50" s="39"/>
      <c r="C50" s="40"/>
      <c r="D50" s="40"/>
      <c r="E50" s="40"/>
      <c r="F50" s="40"/>
      <c r="G50" s="40"/>
      <c r="H50" s="40"/>
      <c r="I50" s="40"/>
      <c r="J50" s="40"/>
      <c r="K50" s="47"/>
      <c r="L50" s="47"/>
      <c r="M50" s="27"/>
      <c r="N50" s="27"/>
    </row>
    <row r="51" spans="1:14" ht="16.5" customHeight="1">
      <c r="A51" s="27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</row>
    <row r="52" spans="1:14" ht="15">
      <c r="A52" s="27"/>
      <c r="B52" s="39"/>
      <c r="C52" s="40"/>
      <c r="D52" s="40"/>
      <c r="E52" s="40"/>
      <c r="F52" s="40"/>
      <c r="G52" s="40"/>
      <c r="H52" s="40"/>
      <c r="I52" s="40"/>
      <c r="J52" s="40"/>
      <c r="K52" s="27"/>
      <c r="L52" s="27"/>
      <c r="M52" s="27"/>
      <c r="N52" s="27"/>
    </row>
    <row r="53" spans="1:14" ht="15.75">
      <c r="A53" s="47"/>
      <c r="B53" s="39"/>
      <c r="C53" s="40"/>
      <c r="D53" s="40"/>
      <c r="E53" s="40"/>
      <c r="F53" s="40"/>
      <c r="G53" s="40"/>
      <c r="H53" s="40"/>
      <c r="I53" s="40"/>
      <c r="J53" s="40"/>
      <c r="K53" s="27"/>
      <c r="L53" s="27"/>
      <c r="M53" s="27"/>
      <c r="N53" s="27"/>
    </row>
    <row r="54" spans="1:14" ht="15">
      <c r="A54" s="41"/>
      <c r="B54" s="39"/>
      <c r="C54" s="40"/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</row>
    <row r="55" spans="1:14" ht="3.75" customHeight="1">
      <c r="A55" s="27"/>
      <c r="B55" s="39"/>
      <c r="C55" s="40"/>
      <c r="D55" s="40"/>
      <c r="E55" s="40"/>
      <c r="F55" s="40"/>
      <c r="G55" s="40"/>
      <c r="H55" s="40"/>
      <c r="I55" s="40"/>
      <c r="J55" s="40"/>
      <c r="K55" s="27"/>
      <c r="L55" s="27"/>
      <c r="M55" s="27"/>
      <c r="N55" s="27"/>
    </row>
    <row r="56" spans="1:14" ht="6" customHeight="1">
      <c r="A56" s="27"/>
      <c r="B56" s="39"/>
      <c r="C56" s="40"/>
      <c r="D56" s="40"/>
      <c r="E56" s="40"/>
      <c r="F56" s="40"/>
      <c r="G56" s="40"/>
      <c r="H56" s="40"/>
      <c r="I56" s="40"/>
      <c r="J56" s="40"/>
      <c r="K56" s="27"/>
      <c r="L56" s="27"/>
      <c r="M56" s="27"/>
      <c r="N56" s="27"/>
    </row>
    <row r="57" spans="1:14" ht="15.75">
      <c r="A57" s="47"/>
      <c r="B57" s="42"/>
      <c r="C57" s="40"/>
      <c r="D57" s="40"/>
      <c r="E57" s="40"/>
      <c r="F57" s="40"/>
      <c r="G57" s="43"/>
      <c r="H57" s="43"/>
      <c r="I57" s="43"/>
      <c r="J57" s="43"/>
      <c r="K57" s="44"/>
      <c r="L57" s="44"/>
      <c r="M57" s="27"/>
      <c r="N57" s="27"/>
    </row>
    <row r="58" spans="1:14" ht="15">
      <c r="A58" s="41"/>
      <c r="B58" s="42"/>
      <c r="C58" s="40"/>
      <c r="D58" s="40"/>
      <c r="E58" s="40"/>
      <c r="F58" s="40"/>
      <c r="G58" s="43"/>
      <c r="H58" s="43"/>
      <c r="I58" s="43"/>
      <c r="J58" s="43"/>
      <c r="K58" s="27"/>
      <c r="L58" s="27"/>
      <c r="M58" s="27"/>
      <c r="N58" s="27"/>
    </row>
    <row r="59" spans="1:14" ht="15">
      <c r="A59" s="27"/>
      <c r="B59" s="39"/>
      <c r="C59" s="40"/>
      <c r="D59" s="40"/>
      <c r="E59" s="40"/>
      <c r="F59" s="40"/>
      <c r="G59" s="40"/>
      <c r="H59" s="40"/>
      <c r="I59" s="40"/>
      <c r="J59" s="40"/>
      <c r="K59" s="27"/>
      <c r="L59" s="27"/>
      <c r="M59" s="27"/>
      <c r="N59" s="27"/>
    </row>
    <row r="60" spans="1:14" ht="15.75">
      <c r="A60" s="48"/>
      <c r="B60" s="49"/>
      <c r="C60" s="50"/>
      <c r="D60" s="50"/>
      <c r="E60" s="40"/>
      <c r="F60" s="40"/>
      <c r="G60" s="40"/>
      <c r="H60" s="40"/>
      <c r="I60" s="40"/>
      <c r="J60" s="40"/>
      <c r="K60" s="27"/>
      <c r="L60" s="27"/>
      <c r="M60" s="27"/>
      <c r="N60" s="27"/>
    </row>
    <row r="61" spans="1:14" ht="15">
      <c r="A61" s="45"/>
      <c r="B61" s="46"/>
      <c r="C61" s="41"/>
      <c r="D61" s="41"/>
      <c r="E61" s="40"/>
      <c r="F61" s="40"/>
      <c r="G61" s="40"/>
      <c r="H61" s="40"/>
      <c r="I61" s="40"/>
      <c r="J61" s="40"/>
      <c r="K61" s="27"/>
      <c r="L61" s="27"/>
      <c r="M61" s="27"/>
      <c r="N61" s="27"/>
    </row>
  </sheetData>
  <sheetProtection/>
  <mergeCells count="19">
    <mergeCell ref="C22:F22"/>
    <mergeCell ref="A2:O2"/>
    <mergeCell ref="A3:O3"/>
    <mergeCell ref="A21:O21"/>
    <mergeCell ref="A22:A23"/>
    <mergeCell ref="B22:B23"/>
    <mergeCell ref="C23:D23"/>
    <mergeCell ref="E23:F23"/>
    <mergeCell ref="G23:H23"/>
    <mergeCell ref="O22:P23"/>
    <mergeCell ref="K23:L23"/>
    <mergeCell ref="H8:M8"/>
    <mergeCell ref="H9:M9"/>
    <mergeCell ref="M23:N23"/>
    <mergeCell ref="K22:L22"/>
    <mergeCell ref="G22:H22"/>
    <mergeCell ref="M22:N22"/>
    <mergeCell ref="I22:J22"/>
    <mergeCell ref="I23:J23"/>
  </mergeCells>
  <printOptions/>
  <pageMargins left="0.3937007874015748" right="0.2362204724409449" top="0" bottom="0" header="0.31496062992125984" footer="0.31496062992125984"/>
  <pageSetup fitToWidth="0" fitToHeight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Ros.Nikolova</dc:creator>
  <cp:keywords/>
  <dc:description/>
  <cp:lastModifiedBy>t.stoichkova</cp:lastModifiedBy>
  <cp:lastPrinted>2019-01-22T12:46:36Z</cp:lastPrinted>
  <dcterms:created xsi:type="dcterms:W3CDTF">1996-10-14T23:33:28Z</dcterms:created>
  <dcterms:modified xsi:type="dcterms:W3CDTF">2021-03-22T13:44:35Z</dcterms:modified>
  <cp:category/>
  <cp:version/>
  <cp:contentType/>
  <cp:contentStatus/>
</cp:coreProperties>
</file>